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60" windowWidth="18105" windowHeight="5790" activeTab="4"/>
  </bookViews>
  <sheets>
    <sheet name="Cover Page" sheetId="1" r:id="rId1"/>
    <sheet name="Table A" sheetId="2" r:id="rId2"/>
    <sheet name="Table B" sheetId="3" r:id="rId3"/>
    <sheet name="Table C" sheetId="4" r:id="rId4"/>
    <sheet name="Table D" sheetId="5" r:id="rId5"/>
  </sheets>
  <definedNames>
    <definedName name="_xlnm.Print_Area" localSheetId="0">'Cover Page'!$A$1:$H$21</definedName>
    <definedName name="_xlnm.Print_Area" localSheetId="1">'Table A'!$A$1:$G$38</definedName>
    <definedName name="_xlnm.Print_Area" localSheetId="3">'Table C'!$A$1:$F$32</definedName>
    <definedName name="_xlnm.Print_Titles" localSheetId="1">'Table A'!$A:$A,'Table A'!$1:$3</definedName>
  </definedNames>
  <calcPr fullCalcOnLoad="1"/>
</workbook>
</file>

<file path=xl/sharedStrings.xml><?xml version="1.0" encoding="utf-8"?>
<sst xmlns="http://schemas.openxmlformats.org/spreadsheetml/2006/main" count="183" uniqueCount="104">
  <si>
    <t>Impervious Urban Surface Reduction</t>
  </si>
  <si>
    <t>Erosion and Sediment Control</t>
  </si>
  <si>
    <t>Street Sweeping</t>
  </si>
  <si>
    <t>Urban Stream Restoration</t>
  </si>
  <si>
    <t>Initial Project Costs</t>
  </si>
  <si>
    <t xml:space="preserve">Routine and Intermittent Maintenance Costs </t>
  </si>
  <si>
    <t>Total Initial Costs</t>
  </si>
  <si>
    <t>__________ County, Maryland</t>
  </si>
  <si>
    <t>PART 2: Annual Maintenance Costs</t>
  </si>
  <si>
    <t>Wet Ponds and Wetlands (New)</t>
  </si>
  <si>
    <t>Wet Ponds and Wetlands (Retrofit)</t>
  </si>
  <si>
    <t>Dry Extended Detention Ponds (New)</t>
  </si>
  <si>
    <t>Dry Extended Detention Ponds (Retrofit)</t>
  </si>
  <si>
    <t>Infiltration Practices w/o Sand, Veg. (New)</t>
  </si>
  <si>
    <t>Infiltration Practices w/ Sand, Veg. (New)</t>
  </si>
  <si>
    <t>Bioswale (New)</t>
  </si>
  <si>
    <t>Permeable Pavement w/o Sand, Veg. (New)</t>
  </si>
  <si>
    <t>Permeable Pavement w/ Sand, Veg. (New)</t>
  </si>
  <si>
    <t>Total Annual Maintenance Costs</t>
  </si>
  <si>
    <t>Total Stormwater BMP Costs per Impervious Acre Treated</t>
  </si>
  <si>
    <t>Total</t>
  </si>
  <si>
    <t xml:space="preserve">County Stormwater BMP </t>
  </si>
  <si>
    <t>Unit Cost Development</t>
  </si>
  <si>
    <t>Stormwater BMP Unit Cost Estimates</t>
  </si>
  <si>
    <t>Vegetated Open Channels</t>
  </si>
  <si>
    <t>Stormwater BMP</t>
  </si>
  <si>
    <t>Planning Level Unit Cost Development for Stormwater Best Management Practices (BMPs)</t>
  </si>
  <si>
    <r>
      <t>Planning Level Unit Cost Development for Stormwater Best Management Practices (BMPs)</t>
    </r>
    <r>
      <rPr>
        <b/>
        <vertAlign val="superscript"/>
        <sz val="12"/>
        <rFont val="Cambria"/>
        <family val="1"/>
      </rPr>
      <t>1</t>
    </r>
  </si>
  <si>
    <r>
      <t>Pre-Construction Costs</t>
    </r>
    <r>
      <rPr>
        <b/>
        <vertAlign val="superscript"/>
        <sz val="12"/>
        <rFont val="Cambria"/>
        <family val="1"/>
      </rPr>
      <t>2</t>
    </r>
  </si>
  <si>
    <r>
      <t>Construction Costs</t>
    </r>
    <r>
      <rPr>
        <b/>
        <vertAlign val="superscript"/>
        <sz val="12"/>
        <rFont val="Cambria"/>
        <family val="1"/>
      </rPr>
      <t>3</t>
    </r>
  </si>
  <si>
    <r>
      <t>Land Costs</t>
    </r>
    <r>
      <rPr>
        <b/>
        <vertAlign val="superscript"/>
        <sz val="12"/>
        <rFont val="Cambria"/>
        <family val="1"/>
      </rPr>
      <t>4</t>
    </r>
  </si>
  <si>
    <r>
      <t>Street Sweeping</t>
    </r>
    <r>
      <rPr>
        <vertAlign val="superscript"/>
        <sz val="12"/>
        <rFont val="Cambria"/>
        <family val="1"/>
      </rPr>
      <t>7</t>
    </r>
  </si>
  <si>
    <r>
      <rPr>
        <vertAlign val="superscript"/>
        <sz val="12"/>
        <rFont val="Cambria"/>
        <family val="1"/>
      </rPr>
      <t>5</t>
    </r>
    <r>
      <rPr>
        <sz val="10"/>
        <rFont val="Cambria"/>
        <family val="1"/>
      </rPr>
      <t xml:space="preserve">  Initial BMP costs, including preconstruction, construction, and land costs, are amortized over 20 years at 3% to arrive at annualized initial costs.</t>
    </r>
  </si>
  <si>
    <r>
      <rPr>
        <vertAlign val="superscript"/>
        <sz val="12"/>
        <rFont val="Cambria"/>
        <family val="1"/>
      </rPr>
      <t>7</t>
    </r>
    <r>
      <rPr>
        <sz val="10"/>
        <rFont val="Cambria"/>
        <family val="1"/>
      </rPr>
      <t xml:space="preserve"> Capital acquisition cost per impervious acre treated.</t>
    </r>
  </si>
  <si>
    <r>
      <t>Average Annual County Implementation Costs</t>
    </r>
    <r>
      <rPr>
        <b/>
        <vertAlign val="superscript"/>
        <sz val="12"/>
        <rFont val="Cambria"/>
        <family val="1"/>
      </rPr>
      <t>3</t>
    </r>
  </si>
  <si>
    <r>
      <t>Annual Routine Maintenance</t>
    </r>
    <r>
      <rPr>
        <b/>
        <vertAlign val="superscript"/>
        <sz val="12"/>
        <rFont val="Cambria"/>
        <family val="1"/>
      </rPr>
      <t>1</t>
    </r>
  </si>
  <si>
    <r>
      <t>Average Annual Intermittent Maintenance</t>
    </r>
    <r>
      <rPr>
        <b/>
        <vertAlign val="superscript"/>
        <sz val="12"/>
        <rFont val="Cambria"/>
        <family val="1"/>
      </rPr>
      <t>2</t>
    </r>
  </si>
  <si>
    <r>
      <rPr>
        <vertAlign val="superscript"/>
        <sz val="12"/>
        <rFont val="Cambria"/>
        <family val="1"/>
      </rPr>
      <t>2</t>
    </r>
    <r>
      <rPr>
        <sz val="10"/>
        <rFont val="Cambria"/>
        <family val="1"/>
      </rPr>
      <t xml:space="preserve"> Intermittent/corrective maintenance tasks are those that accrue every 3 to 5 years; these are averaged here over the 20 year period.</t>
    </r>
  </si>
  <si>
    <r>
      <rPr>
        <vertAlign val="superscript"/>
        <sz val="12"/>
        <rFont val="Cambria"/>
        <family val="1"/>
      </rPr>
      <t>3</t>
    </r>
    <r>
      <rPr>
        <sz val="10"/>
        <rFont val="Cambria"/>
        <family val="1"/>
      </rPr>
      <t xml:space="preserve"> Average annual county cost of inspecting and monitoring stormwater BMPs and enforcing construction and maintanance standards.</t>
    </r>
  </si>
  <si>
    <t xml:space="preserve">Life Cycle (20 years) and Annual </t>
  </si>
  <si>
    <t>PART 3: Life Cycle (20 years) and Annual Stormwater BMP Unit Cost Estimates</t>
  </si>
  <si>
    <t>Hydrodynamic Structures (New)</t>
  </si>
  <si>
    <t>Dry Detention Ponds (New)</t>
  </si>
  <si>
    <t>Filtering Practices (Sand, above ground)</t>
  </si>
  <si>
    <t>Filtering Practices (Sand, below ground)</t>
  </si>
  <si>
    <r>
      <rPr>
        <vertAlign val="superscript"/>
        <sz val="12"/>
        <rFont val="Cambria"/>
        <family val="1"/>
      </rPr>
      <t>1</t>
    </r>
    <r>
      <rPr>
        <sz val="10"/>
        <rFont val="Cambria"/>
        <family val="1"/>
      </rPr>
      <t xml:space="preserve"> Annual routine maintenance costs over 20 years; assumes a 3% discount rate, but also a 3% annual increase in maintenance cost  which washes out the effect of discounting resulting in a constant present value annual cost throughout the 20 year period.</t>
    </r>
  </si>
  <si>
    <t>Reduction in Emissions per acre treated by each Stormwater BMP</t>
  </si>
  <si>
    <t>(5)                       % of Available Acres Treated (County Decision Variable)</t>
  </si>
  <si>
    <t>County-based Costs</t>
  </si>
  <si>
    <t>Lifetime Costs</t>
  </si>
  <si>
    <t>(1)                       Nitrogen</t>
  </si>
  <si>
    <t>(2)                       Phosphorus</t>
  </si>
  <si>
    <t>(3)                       Sediment</t>
  </si>
  <si>
    <t>(4)                       Available Acres</t>
  </si>
  <si>
    <t>Overall reduction for all Stormwater BMPs</t>
  </si>
  <si>
    <t xml:space="preserve">          Cost for all Stormwater BMPs</t>
  </si>
  <si>
    <t xml:space="preserve">          Cost per County Resident</t>
  </si>
  <si>
    <t xml:space="preserve">          Cost per County Household</t>
  </si>
  <si>
    <t xml:space="preserve">          Total Cost per 1,000 sq ft Impervious Area</t>
  </si>
  <si>
    <t>County Population (2010)</t>
  </si>
  <si>
    <t>Number of Households (2010)</t>
  </si>
  <si>
    <t>Impervious Area (2010)</t>
  </si>
  <si>
    <t>Part 4: Integrating Unit Stormwater BMP Costs with MAST Output</t>
  </si>
  <si>
    <t xml:space="preserve">Integrating Unit Stormwater </t>
  </si>
  <si>
    <t>BMP Costs with MAST Output</t>
  </si>
  <si>
    <t>Land Cost per Developable Acre</t>
  </si>
  <si>
    <t>% Project Acres Developable</t>
  </si>
  <si>
    <t>Table A</t>
  </si>
  <si>
    <t>Table B</t>
  </si>
  <si>
    <t>Table C</t>
  </si>
  <si>
    <t>Table D</t>
  </si>
  <si>
    <r>
      <rPr>
        <vertAlign val="superscript"/>
        <sz val="12"/>
        <rFont val="Cambria"/>
        <family val="1"/>
      </rPr>
      <t>4</t>
    </r>
    <r>
      <rPr>
        <sz val="10"/>
        <rFont val="Cambria"/>
        <family val="1"/>
      </rPr>
      <t xml:space="preserve"> For all stormwater BMPs that require land  it is assumed that: 1)  the  opportunity cost of developable land is $100,000 per acre and 2)  50% of projects that require land take place on developable land with the rest taking place on land that is not developable.  This brings the opportunity cost of land for stormwater BMPs that require land to $50,000 per acre.  Actual county-specific land cost and percent developable land values can be filled in to the right.
NOTE: The area of a BMP project may be greater or less than the impervious area treated.</t>
    </r>
  </si>
  <si>
    <r>
      <t>Average Annual  Maintenance Costs</t>
    </r>
    <r>
      <rPr>
        <b/>
        <vertAlign val="superscript"/>
        <sz val="12"/>
        <rFont val="Cambria"/>
        <family val="1"/>
      </rPr>
      <t xml:space="preserve">1
</t>
    </r>
    <r>
      <rPr>
        <b/>
        <sz val="10"/>
        <rFont val="Cambria"/>
        <family val="1"/>
      </rPr>
      <t>(From Table B)</t>
    </r>
  </si>
  <si>
    <t>Bioretention (Retrofit - Highly Urban)</t>
  </si>
  <si>
    <t>Bioretention (New - Suburban)</t>
  </si>
  <si>
    <t>PART 1: Initial Costs Per Impervious Acre Treated</t>
  </si>
  <si>
    <r>
      <rPr>
        <vertAlign val="superscript"/>
        <sz val="12"/>
        <rFont val="Cambria"/>
        <family val="1"/>
      </rPr>
      <t>6</t>
    </r>
    <r>
      <rPr>
        <sz val="10"/>
        <rFont val="Cambria"/>
        <family val="1"/>
      </rPr>
      <t>Best available data indicate that "retail" (i.e., direct mail) public outreach campaigns cost about $15 per household contacted.  For an illustrative county, we assumed that each household has 5,941 sq ft of turf and 2,406 sq ft of impervious cover (medium density development).  This means that 7.33 households need to adopt this BMP to potentially result in an acre of turf being treated, at a cost $109.98 per turf acre.  Based on a review of direct mail response rates, we assumed that 2% of households contacted will respond positively to this outreach effort, bringing the cost per turf acre treated to $5,497.50/acre.  The equivalent on a per-impervious-acre was based on the MDE June 2011 stormwater guidance document, which provides an equivalent for this practice of .09 acres impervious area per one acre of this practice.  This estimate does not include any additional costs for soil tests by the homeowner to determine the appropriate amount of fertilizer required.</t>
    </r>
  </si>
  <si>
    <t>Urban Forest Buffers</t>
  </si>
  <si>
    <t>Urban Grass Buffers</t>
  </si>
  <si>
    <t>Urban Tree Planting</t>
  </si>
  <si>
    <r>
      <t>Urban Nutrient Management</t>
    </r>
    <r>
      <rPr>
        <vertAlign val="superscript"/>
        <sz val="12"/>
        <rFont val="Cambria"/>
        <family val="1"/>
      </rPr>
      <t>6</t>
    </r>
  </si>
  <si>
    <t>Urban Nutrient Management</t>
  </si>
  <si>
    <t>Annualized Initial Costs5</t>
  </si>
  <si>
    <r>
      <rPr>
        <vertAlign val="superscript"/>
        <sz val="12"/>
        <rFont val="Cambria"/>
        <family val="1"/>
      </rPr>
      <t>1</t>
    </r>
    <r>
      <rPr>
        <sz val="10"/>
        <rFont val="Cambria"/>
        <family val="1"/>
      </rPr>
      <t xml:space="preserve"> All costs are expressed per acre of impervious area treated, not per acre of BMP.  Initial costs are assumed to take place in year T=0; annual costs are incurred from year T= 1 through year T= 20.</t>
    </r>
  </si>
  <si>
    <r>
      <rPr>
        <vertAlign val="superscript"/>
        <sz val="12"/>
        <rFont val="Cambria"/>
        <family val="1"/>
      </rPr>
      <t>2</t>
    </r>
    <r>
      <rPr>
        <sz val="10"/>
        <rFont val="Cambria"/>
        <family val="1"/>
      </rPr>
      <t xml:space="preserve"> Includes cost of site discovery, surveying, design, planning, permitting, etc. which, for various BMPs tend to range from 10% to 40% of BMP construction costs.</t>
    </r>
  </si>
  <si>
    <r>
      <t>Maintenance, Intermittent Repair, and Implementation Costs</t>
    </r>
    <r>
      <rPr>
        <b/>
        <vertAlign val="superscript"/>
        <sz val="12"/>
        <rFont val="Cambria"/>
        <family val="1"/>
      </rPr>
      <t>4</t>
    </r>
  </si>
  <si>
    <t>Average Annual (Over 20 Years)</t>
  </si>
  <si>
    <r>
      <rPr>
        <vertAlign val="superscript"/>
        <sz val="12"/>
        <rFont val="Cambria"/>
        <family val="1"/>
      </rPr>
      <t>4</t>
    </r>
    <r>
      <rPr>
        <sz val="10"/>
        <rFont val="Cambria"/>
        <family val="1"/>
      </rPr>
      <t xml:space="preserve"> Combined annual operating, implementation, and maintenance costs.</t>
    </r>
  </si>
  <si>
    <t>Initial Costs                                         (From Table A)</t>
  </si>
  <si>
    <t>Annualized Initial Costs</t>
  </si>
  <si>
    <t>Costs                      (Over 20 Years)</t>
  </si>
  <si>
    <t>Average Annual Cost</t>
  </si>
  <si>
    <r>
      <rPr>
        <vertAlign val="superscript"/>
        <sz val="12"/>
        <rFont val="Cambria"/>
        <family val="1"/>
      </rPr>
      <t>1</t>
    </r>
    <r>
      <rPr>
        <sz val="10"/>
        <rFont val="Cambria"/>
        <family val="1"/>
      </rPr>
      <t>Includes routine annual maintenance costs, average annual intermittent maintenance costs, and county implementation costs.</t>
    </r>
  </si>
  <si>
    <t>Cost per Impervious Acre Treated</t>
  </si>
  <si>
    <t>(7)                       Initial Cost</t>
  </si>
  <si>
    <t>(8)                       Average Annual Maintenance Cost</t>
  </si>
  <si>
    <t>(9)                       Total                  (Over 20 Years)</t>
  </si>
  <si>
    <t>(10)                       Annual Costs        (Over 20 Years)</t>
  </si>
  <si>
    <t>Total                   (Over 20 Years)</t>
  </si>
  <si>
    <r>
      <rPr>
        <vertAlign val="superscript"/>
        <sz val="12"/>
        <rFont val="Cambria"/>
        <family val="1"/>
      </rPr>
      <t>3</t>
    </r>
    <r>
      <rPr>
        <sz val="10"/>
        <rFont val="Cambria"/>
        <family val="1"/>
      </rPr>
      <t xml:space="preserve"> Includes capital, labor, material and overhead costs, but not land costs, associated implementation; for street sweeping includes only capital cost of purchasing a mechanical sweeper.  Nutrient management construction costs refer to the cost of an outreach campaign, not to any construction costs.</t>
    </r>
  </si>
  <si>
    <t>Initial SWBMP Costs (Pre-construction, Construction and Land Costs)</t>
  </si>
  <si>
    <t>Routine and Intermittent Annual Maintenance Costs</t>
  </si>
  <si>
    <t xml:space="preserve">For definitions of terms and descriptions of underlying analyses users of these SWBMP cost estimating spreadsheets should consult "Costs of Stormwater Management Practices In Maryland Counties" prepared for Maryland Department of the Environment by Dennis King and Patrick Hagan of the University of Maryland, Center for Environmental Science (UMCES).  It is available at:  www.mde.state.md.us/programs/Water/TMDL/TMDLImplementation/Pages/PhaseIIBayWIPDev.aspx </t>
  </si>
  <si>
    <t>(6)                       Number  of Impervious Acres Treated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</si>
</sst>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36">
    <font>
      <sz val="10"/>
      <name val="Arial"/>
      <family val="0"/>
    </font>
    <font>
      <sz val="11"/>
      <color indexed="8"/>
      <name val="Calibri"/>
      <family val="2"/>
    </font>
    <font>
      <b/>
      <sz val="10"/>
      <name val="Arial"/>
      <family val="2"/>
    </font>
    <font>
      <sz val="14"/>
      <name val="Arial"/>
      <family val="2"/>
    </font>
    <font>
      <sz val="10"/>
      <color indexed="10"/>
      <name val="Arial"/>
      <family val="2"/>
    </font>
    <font>
      <b/>
      <sz val="12"/>
      <name val="Cambria"/>
      <family val="1"/>
    </font>
    <font>
      <b/>
      <vertAlign val="superscript"/>
      <sz val="12"/>
      <name val="Cambria"/>
      <family val="1"/>
    </font>
    <font>
      <sz val="10"/>
      <name val="Cambria"/>
      <family val="1"/>
    </font>
    <font>
      <b/>
      <sz val="10"/>
      <name val="Cambria"/>
      <family val="1"/>
    </font>
    <font>
      <vertAlign val="superscript"/>
      <sz val="12"/>
      <name val="Cambria"/>
      <family val="1"/>
    </font>
    <font>
      <b/>
      <sz val="14"/>
      <name val="Cambria"/>
      <family val="1"/>
    </font>
    <font>
      <sz val="12"/>
      <name val="Cambria"/>
      <family val="1"/>
    </font>
    <font>
      <b/>
      <sz val="12"/>
      <color indexed="8"/>
      <name val="Cambria"/>
      <family val="1"/>
    </font>
    <font>
      <b/>
      <sz val="11"/>
      <color indexed="8"/>
      <name val="Cambria"/>
      <family val="1"/>
    </font>
    <font>
      <sz val="11"/>
      <color indexed="8"/>
      <name val="Cambria"/>
      <family val="1"/>
    </font>
    <font>
      <sz val="11"/>
      <name val="Cambria"/>
      <family val="1"/>
    </font>
    <font>
      <b/>
      <sz val="16"/>
      <name val="Cambria"/>
      <family val="1"/>
    </font>
    <font>
      <sz val="16"/>
      <name val="Cambria"/>
      <family val="1"/>
    </font>
    <font>
      <b/>
      <sz val="16"/>
      <color indexed="8"/>
      <name val="Cambria"/>
      <family val="1"/>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right style="thin"/>
      <top style="thin"/>
      <bottom style="thin"/>
    </border>
    <border>
      <left style="thin"/>
      <right/>
      <top/>
      <bottom style="thin"/>
    </border>
    <border>
      <left style="thin"/>
      <right style="thin"/>
      <top/>
      <bottom style="thin"/>
    </border>
    <border>
      <left/>
      <right style="thin"/>
      <top style="thin"/>
      <bottom/>
    </border>
    <border>
      <left/>
      <right style="thin"/>
      <top/>
      <bottom style="thin"/>
    </border>
    <border>
      <left style="thin"/>
      <right style="thin"/>
      <top style="thin"/>
      <bottom/>
    </border>
    <border>
      <left/>
      <right/>
      <top style="thin"/>
      <bottom/>
    </border>
    <border>
      <left style="thin"/>
      <right/>
      <top style="thin"/>
      <bottom style="thin"/>
    </border>
    <border>
      <left/>
      <right/>
      <top style="thin"/>
      <bottom style="thin"/>
    </border>
    <border>
      <left style="thin"/>
      <right/>
      <top style="thin"/>
      <bottom/>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124">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horizontal="center"/>
    </xf>
    <xf numFmtId="0" fontId="2" fillId="0" borderId="0" xfId="0" applyFont="1" applyAlignment="1">
      <alignment/>
    </xf>
    <xf numFmtId="0" fontId="0" fillId="0" borderId="0" xfId="0" applyFont="1" applyAlignment="1">
      <alignment vertical="top"/>
    </xf>
    <xf numFmtId="0" fontId="3" fillId="0" borderId="0" xfId="0" applyFont="1" applyAlignment="1">
      <alignment/>
    </xf>
    <xf numFmtId="0" fontId="3" fillId="0" borderId="0" xfId="0" applyFont="1"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Border="1" applyAlignment="1">
      <alignment horizontal="center"/>
    </xf>
    <xf numFmtId="164" fontId="0" fillId="0" borderId="0" xfId="44" applyNumberFormat="1"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12" xfId="0"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2" fillId="0" borderId="0" xfId="0" applyFont="1" applyFill="1" applyBorder="1" applyAlignment="1">
      <alignment horizontal="center" wrapText="1"/>
    </xf>
    <xf numFmtId="0" fontId="0" fillId="0" borderId="0" xfId="0" applyFill="1" applyBorder="1" applyAlignment="1">
      <alignment horizontal="center" wrapText="1"/>
    </xf>
    <xf numFmtId="164" fontId="0" fillId="0" borderId="0" xfId="44" applyNumberFormat="1" applyFont="1" applyFill="1" applyBorder="1" applyAlignment="1">
      <alignment/>
    </xf>
    <xf numFmtId="44" fontId="0" fillId="0" borderId="0" xfId="0" applyNumberFormat="1" applyFill="1" applyBorder="1" applyAlignment="1">
      <alignment/>
    </xf>
    <xf numFmtId="0" fontId="4" fillId="0" borderId="0" xfId="0" applyFont="1" applyFill="1" applyBorder="1" applyAlignment="1">
      <alignment/>
    </xf>
    <xf numFmtId="0" fontId="7" fillId="0" borderId="0" xfId="0" applyFont="1" applyAlignment="1">
      <alignment/>
    </xf>
    <xf numFmtId="0" fontId="8" fillId="0" borderId="10" xfId="0" applyFont="1" applyBorder="1" applyAlignment="1">
      <alignment horizontal="center" wrapText="1"/>
    </xf>
    <xf numFmtId="0" fontId="7" fillId="0" borderId="10" xfId="0" applyFont="1" applyBorder="1" applyAlignment="1">
      <alignment/>
    </xf>
    <xf numFmtId="164" fontId="7" fillId="0" borderId="10" xfId="44" applyNumberFormat="1" applyFont="1" applyBorder="1" applyAlignment="1">
      <alignment/>
    </xf>
    <xf numFmtId="164" fontId="7" fillId="0" borderId="10" xfId="44" applyNumberFormat="1" applyFont="1" applyFill="1" applyBorder="1" applyAlignment="1">
      <alignment/>
    </xf>
    <xf numFmtId="0" fontId="7" fillId="0" borderId="10" xfId="0" applyFont="1" applyBorder="1" applyAlignment="1">
      <alignment horizontal="left" vertical="center"/>
    </xf>
    <xf numFmtId="0" fontId="7" fillId="0" borderId="10" xfId="0" applyFont="1" applyBorder="1" applyAlignment="1">
      <alignment horizontal="left"/>
    </xf>
    <xf numFmtId="0" fontId="7" fillId="0" borderId="10" xfId="0" applyFont="1" applyBorder="1" applyAlignment="1">
      <alignment horizontal="left" vertical="center" wrapText="1"/>
    </xf>
    <xf numFmtId="0" fontId="10" fillId="0" borderId="0" xfId="0" applyFont="1" applyAlignment="1">
      <alignment/>
    </xf>
    <xf numFmtId="0" fontId="8" fillId="0" borderId="0" xfId="0" applyFont="1" applyAlignment="1">
      <alignment/>
    </xf>
    <xf numFmtId="0" fontId="8" fillId="0" borderId="13" xfId="0" applyFont="1" applyBorder="1" applyAlignment="1">
      <alignment horizontal="center" wrapText="1"/>
    </xf>
    <xf numFmtId="0" fontId="8" fillId="0" borderId="14" xfId="0" applyFont="1" applyBorder="1" applyAlignment="1">
      <alignment horizontal="center" wrapText="1"/>
    </xf>
    <xf numFmtId="2" fontId="7" fillId="0" borderId="10" xfId="0" applyNumberFormat="1" applyFont="1" applyBorder="1" applyAlignment="1">
      <alignment/>
    </xf>
    <xf numFmtId="164" fontId="7" fillId="0" borderId="10" xfId="0" applyNumberFormat="1" applyFont="1" applyBorder="1" applyAlignment="1">
      <alignment/>
    </xf>
    <xf numFmtId="164" fontId="7" fillId="0" borderId="14" xfId="44" applyNumberFormat="1" applyFont="1" applyBorder="1" applyAlignment="1">
      <alignment/>
    </xf>
    <xf numFmtId="0" fontId="13" fillId="0" borderId="0" xfId="0" applyFont="1" applyAlignment="1">
      <alignment horizontal="center"/>
    </xf>
    <xf numFmtId="0" fontId="14" fillId="0" borderId="15" xfId="0" applyFont="1" applyBorder="1" applyAlignment="1">
      <alignment horizontal="center" wrapText="1"/>
    </xf>
    <xf numFmtId="0" fontId="14" fillId="0" borderId="16" xfId="0" applyFont="1" applyBorder="1" applyAlignment="1">
      <alignment/>
    </xf>
    <xf numFmtId="0" fontId="13" fillId="0" borderId="10" xfId="0" applyFont="1" applyBorder="1" applyAlignment="1">
      <alignment horizontal="center" wrapText="1"/>
    </xf>
    <xf numFmtId="0" fontId="14" fillId="0" borderId="10" xfId="0" applyFont="1" applyBorder="1" applyAlignment="1">
      <alignment/>
    </xf>
    <xf numFmtId="0" fontId="14" fillId="0" borderId="0" xfId="0" applyFont="1" applyAlignment="1">
      <alignment/>
    </xf>
    <xf numFmtId="0" fontId="14" fillId="0" borderId="0" xfId="0" applyFont="1" applyBorder="1" applyAlignment="1">
      <alignment horizontal="left"/>
    </xf>
    <xf numFmtId="0" fontId="14" fillId="0" borderId="0" xfId="0" applyFont="1" applyBorder="1" applyAlignment="1">
      <alignment/>
    </xf>
    <xf numFmtId="0" fontId="14" fillId="0" borderId="17" xfId="0" applyFont="1" applyBorder="1" applyAlignment="1">
      <alignment/>
    </xf>
    <xf numFmtId="164" fontId="14" fillId="0" borderId="10" xfId="44" applyNumberFormat="1" applyFont="1" applyBorder="1" applyAlignment="1">
      <alignment/>
    </xf>
    <xf numFmtId="164" fontId="14" fillId="0" borderId="12" xfId="44" applyNumberFormat="1" applyFont="1" applyBorder="1" applyAlignment="1">
      <alignment/>
    </xf>
    <xf numFmtId="164" fontId="14" fillId="0" borderId="17" xfId="44" applyNumberFormat="1" applyFont="1" applyBorder="1" applyAlignment="1">
      <alignment/>
    </xf>
    <xf numFmtId="0" fontId="10" fillId="0" borderId="0" xfId="0" applyFont="1" applyAlignment="1">
      <alignment/>
    </xf>
    <xf numFmtId="0" fontId="15" fillId="0" borderId="10" xfId="0" applyFont="1" applyBorder="1" applyAlignment="1">
      <alignment/>
    </xf>
    <xf numFmtId="0" fontId="15" fillId="0" borderId="17" xfId="0" applyFont="1" applyBorder="1" applyAlignment="1">
      <alignment/>
    </xf>
    <xf numFmtId="0" fontId="15" fillId="0" borderId="10" xfId="0" applyFont="1" applyBorder="1" applyAlignment="1">
      <alignment horizontal="left" vertical="center"/>
    </xf>
    <xf numFmtId="0" fontId="15" fillId="0" borderId="10" xfId="0" applyFont="1" applyBorder="1" applyAlignment="1">
      <alignment horizontal="left"/>
    </xf>
    <xf numFmtId="0" fontId="15" fillId="0" borderId="10" xfId="0" applyFont="1" applyBorder="1" applyAlignment="1">
      <alignment horizontal="left" vertical="center" wrapText="1"/>
    </xf>
    <xf numFmtId="0" fontId="7" fillId="0" borderId="0" xfId="0" applyFont="1" applyAlignment="1">
      <alignment horizontal="left" wrapText="1"/>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xf>
    <xf numFmtId="0" fontId="7" fillId="6" borderId="10" xfId="0" applyFont="1" applyFill="1" applyBorder="1" applyAlignment="1">
      <alignment horizontal="left" wrapText="1"/>
    </xf>
    <xf numFmtId="6" fontId="7" fillId="6" borderId="10" xfId="0" applyNumberFormat="1" applyFont="1" applyFill="1" applyBorder="1" applyAlignment="1">
      <alignment/>
    </xf>
    <xf numFmtId="9" fontId="7" fillId="6" borderId="10" xfId="0" applyNumberFormat="1" applyFont="1" applyFill="1" applyBorder="1" applyAlignment="1">
      <alignment/>
    </xf>
    <xf numFmtId="0" fontId="7" fillId="0" borderId="0" xfId="0" applyFont="1" applyBorder="1" applyAlignment="1">
      <alignment wrapText="1"/>
    </xf>
    <xf numFmtId="0" fontId="14" fillId="6" borderId="10" xfId="0" applyFont="1" applyFill="1" applyBorder="1" applyAlignment="1">
      <alignment horizontal="left"/>
    </xf>
    <xf numFmtId="0" fontId="14" fillId="6" borderId="10" xfId="0" applyFont="1" applyFill="1" applyBorder="1" applyAlignment="1">
      <alignment/>
    </xf>
    <xf numFmtId="0" fontId="10" fillId="0" borderId="0" xfId="0" applyFont="1" applyAlignment="1">
      <alignment vertical="center"/>
    </xf>
    <xf numFmtId="0" fontId="0" fillId="0" borderId="18" xfId="0" applyBorder="1" applyAlignment="1">
      <alignment horizontal="left" wrapText="1"/>
    </xf>
    <xf numFmtId="0" fontId="14" fillId="0" borderId="10" xfId="0" applyFont="1" applyFill="1" applyBorder="1" applyAlignment="1">
      <alignment/>
    </xf>
    <xf numFmtId="0" fontId="3" fillId="0" borderId="0" xfId="0" applyFont="1" applyAlignment="1">
      <alignment horizontal="center"/>
    </xf>
    <xf numFmtId="0" fontId="19"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center"/>
    </xf>
    <xf numFmtId="0" fontId="16" fillId="0" borderId="0" xfId="0" applyFont="1" applyAlignment="1">
      <alignment horizontal="center"/>
    </xf>
    <xf numFmtId="0" fontId="5" fillId="0" borderId="0" xfId="0" applyFont="1" applyAlignment="1">
      <alignment horizontal="center"/>
    </xf>
    <xf numFmtId="0" fontId="2" fillId="0" borderId="0" xfId="0" applyFont="1" applyFill="1" applyBorder="1" applyAlignment="1">
      <alignment horizontal="center" wrapText="1"/>
    </xf>
    <xf numFmtId="0" fontId="8" fillId="0" borderId="17" xfId="0" applyFont="1" applyBorder="1" applyAlignment="1">
      <alignment horizontal="center" wrapText="1"/>
    </xf>
    <xf numFmtId="0" fontId="8" fillId="0" borderId="14" xfId="0" applyFont="1" applyBorder="1" applyAlignment="1">
      <alignment horizontal="center" wrapText="1"/>
    </xf>
    <xf numFmtId="0" fontId="8" fillId="0" borderId="19" xfId="0" applyFont="1" applyBorder="1" applyAlignment="1">
      <alignment horizontal="center" wrapText="1"/>
    </xf>
    <xf numFmtId="0" fontId="8" fillId="0" borderId="20" xfId="0" applyFont="1" applyBorder="1" applyAlignment="1">
      <alignment horizontal="center" wrapText="1"/>
    </xf>
    <xf numFmtId="0" fontId="8" fillId="0" borderId="12" xfId="0" applyFont="1" applyBorder="1" applyAlignment="1">
      <alignment horizontal="center" wrapText="1"/>
    </xf>
    <xf numFmtId="0" fontId="0" fillId="0" borderId="0" xfId="0" applyFont="1" applyFill="1" applyAlignment="1">
      <alignment wrapText="1"/>
    </xf>
    <xf numFmtId="0" fontId="0" fillId="0" borderId="0" xfId="0" applyAlignment="1">
      <alignment wrapText="1"/>
    </xf>
    <xf numFmtId="0" fontId="7" fillId="0" borderId="21" xfId="0" applyFont="1" applyBorder="1" applyAlignment="1">
      <alignment horizontal="left" wrapText="1"/>
    </xf>
    <xf numFmtId="0" fontId="0" fillId="0" borderId="15" xfId="0" applyBorder="1" applyAlignment="1">
      <alignment horizontal="left" wrapText="1"/>
    </xf>
    <xf numFmtId="0" fontId="7" fillId="0" borderId="22" xfId="0" applyFont="1" applyBorder="1" applyAlignment="1">
      <alignment wrapText="1"/>
    </xf>
    <xf numFmtId="0" fontId="0" fillId="0" borderId="0" xfId="0" applyBorder="1" applyAlignment="1">
      <alignment wrapText="1"/>
    </xf>
    <xf numFmtId="0" fontId="0" fillId="0" borderId="23" xfId="0" applyBorder="1" applyAlignment="1">
      <alignment wrapText="1"/>
    </xf>
    <xf numFmtId="0" fontId="7" fillId="0" borderId="22" xfId="0" applyFont="1" applyBorder="1" applyAlignment="1">
      <alignment horizontal="left" wrapText="1"/>
    </xf>
    <xf numFmtId="0" fontId="0" fillId="0" borderId="0" xfId="0" applyBorder="1" applyAlignment="1">
      <alignment horizontal="left" wrapText="1"/>
    </xf>
    <xf numFmtId="0" fontId="0" fillId="0" borderId="23" xfId="0" applyBorder="1" applyAlignment="1">
      <alignment horizontal="left" wrapText="1"/>
    </xf>
    <xf numFmtId="0" fontId="7" fillId="0" borderId="0" xfId="0" applyFont="1" applyBorder="1" applyAlignment="1">
      <alignment horizontal="left" wrapText="1"/>
    </xf>
    <xf numFmtId="0" fontId="7" fillId="0" borderId="23" xfId="0" applyFont="1" applyBorder="1" applyAlignment="1">
      <alignment horizontal="left" wrapText="1"/>
    </xf>
    <xf numFmtId="0" fontId="7" fillId="0" borderId="13" xfId="0" applyFont="1" applyBorder="1" applyAlignment="1">
      <alignment wrapText="1"/>
    </xf>
    <xf numFmtId="0" fontId="0" fillId="0" borderId="11" xfId="0" applyBorder="1" applyAlignment="1">
      <alignment wrapText="1"/>
    </xf>
    <xf numFmtId="0" fontId="0" fillId="0" borderId="16" xfId="0" applyBorder="1"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xf>
    <xf numFmtId="0" fontId="17" fillId="0" borderId="0" xfId="0" applyFont="1" applyAlignment="1">
      <alignment/>
    </xf>
    <xf numFmtId="0" fontId="8" fillId="0" borderId="10" xfId="0" applyFont="1" applyBorder="1" applyAlignment="1">
      <alignment horizontal="center" wrapText="1"/>
    </xf>
    <xf numFmtId="0" fontId="7" fillId="0" borderId="10" xfId="0" applyFont="1" applyBorder="1" applyAlignment="1">
      <alignment/>
    </xf>
    <xf numFmtId="0" fontId="11" fillId="0" borderId="0" xfId="0" applyFont="1" applyAlignment="1">
      <alignment horizontal="left" wrapText="1"/>
    </xf>
    <xf numFmtId="0" fontId="7" fillId="0" borderId="0" xfId="0" applyFont="1" applyAlignment="1">
      <alignment horizontal="left" wrapText="1"/>
    </xf>
    <xf numFmtId="0" fontId="7" fillId="0" borderId="14" xfId="0" applyFont="1" applyBorder="1" applyAlignment="1">
      <alignment horizontal="center" wrapText="1"/>
    </xf>
    <xf numFmtId="0" fontId="7" fillId="0" borderId="10" xfId="0" applyFont="1" applyBorder="1" applyAlignment="1">
      <alignment horizontal="center" wrapText="1"/>
    </xf>
    <xf numFmtId="0" fontId="14" fillId="0" borderId="10" xfId="0" applyFont="1" applyFill="1" applyBorder="1" applyAlignment="1">
      <alignment horizontal="left"/>
    </xf>
    <xf numFmtId="0" fontId="14" fillId="0" borderId="10" xfId="0" applyFont="1" applyBorder="1" applyAlignment="1">
      <alignment/>
    </xf>
    <xf numFmtId="0" fontId="18" fillId="0" borderId="0" xfId="0" applyFont="1" applyAlignment="1">
      <alignment horizontal="center"/>
    </xf>
    <xf numFmtId="0" fontId="12" fillId="0" borderId="0" xfId="0" applyFont="1" applyAlignment="1">
      <alignment horizontal="center"/>
    </xf>
    <xf numFmtId="0" fontId="13" fillId="0" borderId="10" xfId="0" applyFont="1" applyBorder="1" applyAlignment="1">
      <alignment horizontal="center" wrapText="1"/>
    </xf>
    <xf numFmtId="0" fontId="13" fillId="0" borderId="21" xfId="0" applyFont="1" applyBorder="1" applyAlignment="1">
      <alignment horizontal="center" wrapText="1"/>
    </xf>
    <xf numFmtId="0" fontId="14" fillId="0" borderId="18" xfId="0" applyFont="1" applyBorder="1" applyAlignment="1">
      <alignment horizontal="center" wrapText="1"/>
    </xf>
    <xf numFmtId="0" fontId="14" fillId="0" borderId="15" xfId="0" applyFont="1" applyBorder="1" applyAlignment="1">
      <alignment horizontal="center" wrapText="1"/>
    </xf>
    <xf numFmtId="0" fontId="14" fillId="0" borderId="13" xfId="0" applyFont="1" applyBorder="1" applyAlignment="1">
      <alignment/>
    </xf>
    <xf numFmtId="0" fontId="14" fillId="0" borderId="11" xfId="0" applyFont="1" applyBorder="1" applyAlignment="1">
      <alignment/>
    </xf>
    <xf numFmtId="0" fontId="14" fillId="0" borderId="16" xfId="0" applyFont="1" applyBorder="1" applyAlignment="1">
      <alignment/>
    </xf>
    <xf numFmtId="0" fontId="13" fillId="0" borderId="10" xfId="0" applyFont="1" applyBorder="1" applyAlignment="1">
      <alignment horizontal="center"/>
    </xf>
    <xf numFmtId="0" fontId="14" fillId="0" borderId="10" xfId="0" applyFont="1" applyBorder="1" applyAlignment="1">
      <alignment horizontal="left"/>
    </xf>
    <xf numFmtId="0" fontId="14"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7:L25"/>
  <sheetViews>
    <sheetView zoomScalePageLayoutView="0" workbookViewId="0" topLeftCell="A13">
      <selection activeCell="I20" sqref="I20"/>
    </sheetView>
  </sheetViews>
  <sheetFormatPr defaultColWidth="9.140625" defaultRowHeight="12.75"/>
  <cols>
    <col min="1" max="1" width="17.57421875" style="0" customWidth="1"/>
    <col min="2" max="2" width="14.7109375" style="0" customWidth="1"/>
    <col min="8" max="8" width="11.421875" style="0" customWidth="1"/>
    <col min="9" max="9" width="10.421875" style="0" customWidth="1"/>
  </cols>
  <sheetData>
    <row r="7" spans="1:10" ht="18">
      <c r="A7" s="73"/>
      <c r="B7" s="73"/>
      <c r="C7" s="73"/>
      <c r="D7" s="73"/>
      <c r="E7" s="73"/>
      <c r="F7" s="73"/>
      <c r="G7" s="73"/>
      <c r="H7" s="73"/>
      <c r="I7" s="7"/>
      <c r="J7" s="7"/>
    </row>
    <row r="8" spans="1:10" ht="18">
      <c r="A8" s="76" t="s">
        <v>21</v>
      </c>
      <c r="B8" s="76"/>
      <c r="C8" s="76"/>
      <c r="D8" s="76"/>
      <c r="E8" s="76"/>
      <c r="F8" s="76"/>
      <c r="G8" s="76"/>
      <c r="H8" s="76"/>
      <c r="I8" s="7"/>
      <c r="J8" s="7"/>
    </row>
    <row r="9" spans="1:10" ht="18">
      <c r="A9" s="76" t="s">
        <v>22</v>
      </c>
      <c r="B9" s="76"/>
      <c r="C9" s="76"/>
      <c r="D9" s="76"/>
      <c r="E9" s="76"/>
      <c r="F9" s="76"/>
      <c r="G9" s="76"/>
      <c r="H9" s="76"/>
      <c r="I9" s="7"/>
      <c r="J9" s="7"/>
    </row>
    <row r="10" spans="1:12" ht="18" customHeight="1">
      <c r="A10" s="76" t="s">
        <v>7</v>
      </c>
      <c r="B10" s="76"/>
      <c r="C10" s="76"/>
      <c r="D10" s="76"/>
      <c r="E10" s="76"/>
      <c r="F10" s="76"/>
      <c r="G10" s="76"/>
      <c r="H10" s="76"/>
      <c r="I10" s="4"/>
      <c r="J10" s="4"/>
      <c r="K10" s="4"/>
      <c r="L10" s="4"/>
    </row>
    <row r="11" spans="1:10" ht="18">
      <c r="A11" s="35"/>
      <c r="B11" s="35"/>
      <c r="C11" s="35"/>
      <c r="D11" s="35"/>
      <c r="E11" s="35"/>
      <c r="F11" s="35"/>
      <c r="G11" s="35"/>
      <c r="H11" s="35"/>
      <c r="I11" s="6"/>
      <c r="J11" s="6"/>
    </row>
    <row r="12" spans="1:10" ht="18">
      <c r="A12" s="35"/>
      <c r="B12" s="35"/>
      <c r="C12" s="35"/>
      <c r="D12" s="35"/>
      <c r="E12" s="35"/>
      <c r="F12" s="35"/>
      <c r="G12" s="35"/>
      <c r="H12" s="35"/>
      <c r="I12" s="6"/>
      <c r="J12" s="6"/>
    </row>
    <row r="13" spans="1:8" ht="35.25" customHeight="1">
      <c r="A13" s="35"/>
      <c r="B13" s="70" t="s">
        <v>67</v>
      </c>
      <c r="C13" s="75" t="s">
        <v>100</v>
      </c>
      <c r="D13" s="75"/>
      <c r="E13" s="75"/>
      <c r="F13" s="75"/>
      <c r="G13" s="75"/>
      <c r="H13" s="75"/>
    </row>
    <row r="14" spans="1:8" ht="18">
      <c r="A14" s="35"/>
      <c r="B14" s="35"/>
      <c r="C14" s="35"/>
      <c r="D14" s="35"/>
      <c r="E14" s="35"/>
      <c r="F14" s="35"/>
      <c r="G14" s="35"/>
      <c r="H14" s="35"/>
    </row>
    <row r="15" spans="1:8" ht="18">
      <c r="A15" s="35"/>
      <c r="B15" s="35" t="s">
        <v>68</v>
      </c>
      <c r="C15" s="35" t="s">
        <v>101</v>
      </c>
      <c r="D15" s="35"/>
      <c r="E15" s="35"/>
      <c r="F15" s="35"/>
      <c r="G15" s="35"/>
      <c r="H15" s="35"/>
    </row>
    <row r="16" spans="1:8" ht="18">
      <c r="A16" s="35"/>
      <c r="B16" s="35"/>
      <c r="C16" s="35"/>
      <c r="D16" s="35"/>
      <c r="E16" s="35"/>
      <c r="F16" s="35"/>
      <c r="G16" s="35"/>
      <c r="H16" s="35"/>
    </row>
    <row r="17" spans="1:8" ht="18">
      <c r="A17" s="35"/>
      <c r="B17" s="35" t="s">
        <v>69</v>
      </c>
      <c r="C17" s="35" t="s">
        <v>39</v>
      </c>
      <c r="D17" s="35"/>
      <c r="E17" s="35"/>
      <c r="F17" s="35"/>
      <c r="G17" s="35"/>
      <c r="H17" s="35"/>
    </row>
    <row r="18" spans="1:8" ht="18">
      <c r="A18" s="36"/>
      <c r="B18" s="36"/>
      <c r="C18" s="35" t="s">
        <v>23</v>
      </c>
      <c r="D18" s="36"/>
      <c r="E18" s="36"/>
      <c r="F18" s="36"/>
      <c r="G18" s="36"/>
      <c r="H18" s="36"/>
    </row>
    <row r="20" spans="2:3" ht="18">
      <c r="B20" s="35" t="s">
        <v>70</v>
      </c>
      <c r="C20" s="54" t="s">
        <v>63</v>
      </c>
    </row>
    <row r="21" ht="18">
      <c r="C21" s="54" t="s">
        <v>64</v>
      </c>
    </row>
    <row r="25" spans="1:9" ht="78" customHeight="1">
      <c r="A25" s="74" t="s">
        <v>102</v>
      </c>
      <c r="B25" s="74"/>
      <c r="C25" s="74"/>
      <c r="D25" s="74"/>
      <c r="E25" s="74"/>
      <c r="F25" s="74"/>
      <c r="G25" s="74"/>
      <c r="H25" s="74"/>
      <c r="I25" s="74"/>
    </row>
  </sheetData>
  <sheetProtection/>
  <mergeCells count="6">
    <mergeCell ref="A7:H7"/>
    <mergeCell ref="A25:I25"/>
    <mergeCell ref="C13:H13"/>
    <mergeCell ref="A10:H10"/>
    <mergeCell ref="A9:H9"/>
    <mergeCell ref="A8:H8"/>
  </mergeCells>
  <printOptions/>
  <pageMargins left="0.7" right="0.7" top="0.75" bottom="0.75" header="0.3" footer="0.3"/>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1:P51"/>
  <sheetViews>
    <sheetView zoomScalePageLayoutView="0" workbookViewId="0" topLeftCell="A1">
      <selection activeCell="A1" sqref="A1:G1"/>
    </sheetView>
  </sheetViews>
  <sheetFormatPr defaultColWidth="9.140625" defaultRowHeight="12.75"/>
  <cols>
    <col min="1" max="1" width="53.8515625" style="0" customWidth="1"/>
    <col min="2" max="2" width="17.28125" style="0" customWidth="1"/>
    <col min="3" max="3" width="13.7109375" style="0" customWidth="1"/>
    <col min="4" max="4" width="14.7109375" style="0" customWidth="1"/>
    <col min="5" max="5" width="15.00390625" style="0" customWidth="1"/>
    <col min="6" max="7" width="14.8515625" style="0" customWidth="1"/>
    <col min="8" max="8" width="14.8515625" style="20" customWidth="1"/>
    <col min="9" max="9" width="13.7109375" style="20" customWidth="1"/>
    <col min="10" max="10" width="13.57421875" style="20" customWidth="1"/>
    <col min="11" max="11" width="13.421875" style="20" customWidth="1"/>
    <col min="12" max="12" width="15.28125" style="20" customWidth="1"/>
    <col min="13" max="14" width="20.7109375" style="20" customWidth="1"/>
    <col min="15" max="15" width="9.140625" style="20" customWidth="1"/>
  </cols>
  <sheetData>
    <row r="1" spans="1:14" ht="20.25">
      <c r="A1" s="77" t="s">
        <v>67</v>
      </c>
      <c r="B1" s="77"/>
      <c r="C1" s="77"/>
      <c r="D1" s="77"/>
      <c r="E1" s="77"/>
      <c r="F1" s="77"/>
      <c r="G1" s="77"/>
      <c r="H1" s="18"/>
      <c r="I1" s="19"/>
      <c r="J1" s="19"/>
      <c r="K1" s="19"/>
      <c r="L1" s="19"/>
      <c r="M1" s="19"/>
      <c r="N1" s="19"/>
    </row>
    <row r="2" spans="1:14" ht="18">
      <c r="A2" s="78" t="s">
        <v>27</v>
      </c>
      <c r="B2" s="78"/>
      <c r="C2" s="78"/>
      <c r="D2" s="78"/>
      <c r="E2" s="78"/>
      <c r="F2" s="78"/>
      <c r="G2" s="78"/>
      <c r="H2" s="18"/>
      <c r="I2" s="19"/>
      <c r="J2" s="19"/>
      <c r="K2" s="19"/>
      <c r="L2" s="19"/>
      <c r="M2" s="19"/>
      <c r="N2" s="19"/>
    </row>
    <row r="3" spans="1:14" ht="15.75">
      <c r="A3" s="78" t="s">
        <v>75</v>
      </c>
      <c r="B3" s="78"/>
      <c r="C3" s="78"/>
      <c r="D3" s="78"/>
      <c r="E3" s="78"/>
      <c r="F3" s="78"/>
      <c r="G3" s="78"/>
      <c r="H3" s="18"/>
      <c r="I3" s="19"/>
      <c r="J3" s="19"/>
      <c r="K3" s="19"/>
      <c r="L3" s="19"/>
      <c r="M3" s="19"/>
      <c r="N3" s="19"/>
    </row>
    <row r="4" spans="1:9" ht="12.75">
      <c r="A4" s="27"/>
      <c r="B4" s="27"/>
      <c r="C4" s="27"/>
      <c r="D4" s="27"/>
      <c r="E4" s="27"/>
      <c r="F4" s="27"/>
      <c r="G4" s="9"/>
      <c r="I4" s="21"/>
    </row>
    <row r="5" spans="1:15" s="1" customFormat="1" ht="22.5" customHeight="1">
      <c r="A5" s="80" t="s">
        <v>25</v>
      </c>
      <c r="B5" s="82" t="s">
        <v>4</v>
      </c>
      <c r="C5" s="83"/>
      <c r="D5" s="83"/>
      <c r="E5" s="83"/>
      <c r="F5" s="84"/>
      <c r="G5" s="8"/>
      <c r="H5" s="22"/>
      <c r="I5" s="79"/>
      <c r="J5" s="79"/>
      <c r="K5" s="79"/>
      <c r="L5" s="79"/>
      <c r="M5" s="79"/>
      <c r="N5" s="79"/>
      <c r="O5" s="23"/>
    </row>
    <row r="6" spans="1:15" s="3" customFormat="1" ht="37.5" customHeight="1">
      <c r="A6" s="81"/>
      <c r="B6" s="28" t="s">
        <v>28</v>
      </c>
      <c r="C6" s="28" t="s">
        <v>29</v>
      </c>
      <c r="D6" s="28" t="s">
        <v>30</v>
      </c>
      <c r="E6" s="28" t="s">
        <v>6</v>
      </c>
      <c r="F6" s="28" t="s">
        <v>82</v>
      </c>
      <c r="G6" s="10"/>
      <c r="H6" s="22"/>
      <c r="I6" s="22"/>
      <c r="J6" s="22"/>
      <c r="K6" s="22"/>
      <c r="L6" s="79"/>
      <c r="M6" s="79"/>
      <c r="N6" s="79"/>
      <c r="O6" s="23"/>
    </row>
    <row r="7" spans="1:16" s="2" customFormat="1" ht="12.75">
      <c r="A7" s="29" t="s">
        <v>0</v>
      </c>
      <c r="B7" s="30">
        <f>C7*0.1</f>
        <v>8750</v>
      </c>
      <c r="C7" s="30">
        <v>87500</v>
      </c>
      <c r="D7" s="30">
        <f>$G$32*$G$33*100%</f>
        <v>0</v>
      </c>
      <c r="E7" s="30">
        <f>SUM(B7:D7)</f>
        <v>96250</v>
      </c>
      <c r="F7" s="30">
        <f>-PMT(0.03/1,20,E7)</f>
        <v>6469.511856197691</v>
      </c>
      <c r="G7" s="11"/>
      <c r="H7" s="24"/>
      <c r="I7" s="20"/>
      <c r="J7" s="20"/>
      <c r="K7" s="20"/>
      <c r="L7" s="20"/>
      <c r="M7" s="20"/>
      <c r="N7" s="20"/>
      <c r="O7" s="20"/>
      <c r="P7" s="17"/>
    </row>
    <row r="8" spans="1:16" s="2" customFormat="1" ht="12.75">
      <c r="A8" s="29" t="s">
        <v>77</v>
      </c>
      <c r="B8" s="30">
        <f>C8*0.1</f>
        <v>3000</v>
      </c>
      <c r="C8" s="30">
        <v>30000</v>
      </c>
      <c r="D8" s="30">
        <f>$G$32*0%*1</f>
        <v>0</v>
      </c>
      <c r="E8" s="30">
        <f aca="true" t="shared" si="0" ref="E8:E30">SUM(B8:D8)</f>
        <v>33000</v>
      </c>
      <c r="F8" s="30">
        <f aca="true" t="shared" si="1" ref="F8:F30">-PMT(0.03/1,20,E8)</f>
        <v>2218.118350696351</v>
      </c>
      <c r="G8" s="11"/>
      <c r="H8" s="24"/>
      <c r="I8" s="20"/>
      <c r="J8" s="20"/>
      <c r="K8" s="20"/>
      <c r="L8" s="20"/>
      <c r="M8" s="20"/>
      <c r="N8" s="20"/>
      <c r="O8" s="20"/>
      <c r="P8" s="17"/>
    </row>
    <row r="9" spans="1:16" s="2" customFormat="1" ht="12.75">
      <c r="A9" s="29" t="s">
        <v>78</v>
      </c>
      <c r="B9" s="30">
        <f>C9*0.1</f>
        <v>2150</v>
      </c>
      <c r="C9" s="30">
        <v>21500</v>
      </c>
      <c r="D9" s="30">
        <f>$G$32*0%*1</f>
        <v>0</v>
      </c>
      <c r="E9" s="30">
        <f t="shared" si="0"/>
        <v>23650</v>
      </c>
      <c r="F9" s="30">
        <f>-PMT(0.03/1,20,E9)</f>
        <v>1589.6514846657185</v>
      </c>
      <c r="G9" s="11"/>
      <c r="H9" s="24"/>
      <c r="I9" s="20"/>
      <c r="J9" s="20"/>
      <c r="K9" s="20"/>
      <c r="L9" s="20"/>
      <c r="M9" s="20"/>
      <c r="N9" s="20"/>
      <c r="O9" s="20"/>
      <c r="P9" s="17"/>
    </row>
    <row r="10" spans="1:16" s="2" customFormat="1" ht="12.75">
      <c r="A10" s="29" t="s">
        <v>79</v>
      </c>
      <c r="B10" s="30">
        <f>C10*0.1</f>
        <v>3000</v>
      </c>
      <c r="C10" s="30">
        <v>30000</v>
      </c>
      <c r="D10" s="30">
        <f>$G$32*$G$33*300%</f>
        <v>0</v>
      </c>
      <c r="E10" s="30">
        <f t="shared" si="0"/>
        <v>33000</v>
      </c>
      <c r="F10" s="30">
        <f t="shared" si="1"/>
        <v>2218.118350696351</v>
      </c>
      <c r="G10" s="11"/>
      <c r="H10" s="24"/>
      <c r="I10" s="20"/>
      <c r="J10" s="20"/>
      <c r="K10" s="20"/>
      <c r="L10" s="20"/>
      <c r="M10" s="20"/>
      <c r="N10" s="20"/>
      <c r="O10" s="20"/>
      <c r="P10" s="17"/>
    </row>
    <row r="11" spans="1:16" s="2" customFormat="1" ht="12.75">
      <c r="A11" s="29" t="s">
        <v>9</v>
      </c>
      <c r="B11" s="30">
        <f>C11*0.3</f>
        <v>5565</v>
      </c>
      <c r="C11" s="30">
        <v>18550</v>
      </c>
      <c r="D11" s="30">
        <f>$G$32*$G$33*4%</f>
        <v>0</v>
      </c>
      <c r="E11" s="30">
        <f t="shared" si="0"/>
        <v>24115</v>
      </c>
      <c r="F11" s="30">
        <f t="shared" si="1"/>
        <v>1620.9067886982577</v>
      </c>
      <c r="G11" s="11"/>
      <c r="H11" s="24"/>
      <c r="I11" s="20"/>
      <c r="J11" s="20"/>
      <c r="K11" s="20"/>
      <c r="L11" s="20"/>
      <c r="M11" s="20"/>
      <c r="N11" s="20"/>
      <c r="O11" s="20"/>
      <c r="P11" s="17"/>
    </row>
    <row r="12" spans="1:16" s="2" customFormat="1" ht="12.75">
      <c r="A12" s="29" t="s">
        <v>10</v>
      </c>
      <c r="B12" s="30">
        <f>C12*0.5</f>
        <v>21332.5</v>
      </c>
      <c r="C12" s="30">
        <f>C11*2.3</f>
        <v>42665</v>
      </c>
      <c r="D12" s="30">
        <f>$G$32*$G$33*4%</f>
        <v>0</v>
      </c>
      <c r="E12" s="30">
        <f t="shared" si="0"/>
        <v>63997.5</v>
      </c>
      <c r="F12" s="30">
        <f t="shared" si="1"/>
        <v>4301.637246929992</v>
      </c>
      <c r="G12" s="11"/>
      <c r="H12" s="24"/>
      <c r="I12" s="20"/>
      <c r="J12" s="20"/>
      <c r="K12" s="20"/>
      <c r="L12" s="20"/>
      <c r="M12" s="20"/>
      <c r="N12" s="20"/>
      <c r="O12" s="20"/>
      <c r="P12" s="17"/>
    </row>
    <row r="13" spans="1:16" s="2" customFormat="1" ht="12.75">
      <c r="A13" s="29" t="s">
        <v>42</v>
      </c>
      <c r="B13" s="30">
        <f>C13*0.3</f>
        <v>9000</v>
      </c>
      <c r="C13" s="30">
        <v>30000</v>
      </c>
      <c r="D13" s="30">
        <f>$G$32*$G$33*10%</f>
        <v>0</v>
      </c>
      <c r="E13" s="30">
        <f t="shared" si="0"/>
        <v>39000</v>
      </c>
      <c r="F13" s="30">
        <f t="shared" si="1"/>
        <v>2621.412596277506</v>
      </c>
      <c r="G13" s="11"/>
      <c r="H13" s="24"/>
      <c r="I13" s="20"/>
      <c r="J13" s="20"/>
      <c r="K13" s="20"/>
      <c r="L13" s="20"/>
      <c r="M13" s="20"/>
      <c r="N13" s="20"/>
      <c r="O13" s="20"/>
      <c r="P13" s="17"/>
    </row>
    <row r="14" spans="1:16" s="2" customFormat="1" ht="12.75">
      <c r="A14" s="29" t="s">
        <v>41</v>
      </c>
      <c r="B14" s="30">
        <f>C14*0.2</f>
        <v>7000</v>
      </c>
      <c r="C14" s="30">
        <v>35000</v>
      </c>
      <c r="D14" s="30">
        <f>$G$32*$G$33*0%</f>
        <v>0</v>
      </c>
      <c r="E14" s="30">
        <f t="shared" si="0"/>
        <v>42000</v>
      </c>
      <c r="F14" s="30">
        <f>-PMT(0.03/1,20,E14)</f>
        <v>2823.0597190680833</v>
      </c>
      <c r="G14" s="11"/>
      <c r="H14" s="24"/>
      <c r="I14" s="20"/>
      <c r="J14" s="20"/>
      <c r="K14" s="20"/>
      <c r="L14" s="20"/>
      <c r="M14" s="20"/>
      <c r="N14" s="20"/>
      <c r="O14" s="20"/>
      <c r="P14" s="17"/>
    </row>
    <row r="15" spans="1:16" s="2" customFormat="1" ht="12.75">
      <c r="A15" s="29" t="s">
        <v>11</v>
      </c>
      <c r="B15" s="30">
        <f>C15*0.3</f>
        <v>9000</v>
      </c>
      <c r="C15" s="30">
        <v>30000</v>
      </c>
      <c r="D15" s="30">
        <f>$G$32*$G$33*10%</f>
        <v>0</v>
      </c>
      <c r="E15" s="30">
        <f t="shared" si="0"/>
        <v>39000</v>
      </c>
      <c r="F15" s="30">
        <f t="shared" si="1"/>
        <v>2621.412596277506</v>
      </c>
      <c r="G15" s="11"/>
      <c r="H15" s="24"/>
      <c r="I15" s="20"/>
      <c r="J15" s="20"/>
      <c r="K15" s="20"/>
      <c r="L15" s="20"/>
      <c r="M15" s="20"/>
      <c r="N15" s="20"/>
      <c r="O15" s="20"/>
      <c r="P15" s="17"/>
    </row>
    <row r="16" spans="1:16" s="2" customFormat="1" ht="12.75">
      <c r="A16" s="29" t="s">
        <v>12</v>
      </c>
      <c r="B16" s="30">
        <f>C16*0.5</f>
        <v>22500</v>
      </c>
      <c r="C16" s="30">
        <f>C15*1.5</f>
        <v>45000</v>
      </c>
      <c r="D16" s="30">
        <f>$G$32*$G$33*10%</f>
        <v>0</v>
      </c>
      <c r="E16" s="30">
        <f t="shared" si="0"/>
        <v>67500</v>
      </c>
      <c r="F16" s="30">
        <f t="shared" si="1"/>
        <v>4537.060262787992</v>
      </c>
      <c r="G16" s="11"/>
      <c r="H16" s="24"/>
      <c r="I16" s="20"/>
      <c r="J16" s="20"/>
      <c r="K16" s="20"/>
      <c r="L16" s="20"/>
      <c r="M16" s="20"/>
      <c r="N16" s="20"/>
      <c r="O16" s="20"/>
      <c r="P16" s="17"/>
    </row>
    <row r="17" spans="1:16" s="2" customFormat="1" ht="12.75">
      <c r="A17" s="29" t="s">
        <v>13</v>
      </c>
      <c r="B17" s="30">
        <f>C17*0.4</f>
        <v>16700</v>
      </c>
      <c r="C17" s="30">
        <v>41750</v>
      </c>
      <c r="D17" s="30">
        <f>$G$32*$G$33*10%</f>
        <v>0</v>
      </c>
      <c r="E17" s="30">
        <f t="shared" si="0"/>
        <v>58450</v>
      </c>
      <c r="F17" s="30">
        <f t="shared" si="1"/>
        <v>3928.7581090364156</v>
      </c>
      <c r="G17" s="11"/>
      <c r="H17" s="24"/>
      <c r="I17" s="20"/>
      <c r="J17" s="20"/>
      <c r="K17" s="20"/>
      <c r="L17" s="20"/>
      <c r="M17" s="20"/>
      <c r="N17" s="20"/>
      <c r="O17" s="20"/>
      <c r="P17" s="17"/>
    </row>
    <row r="18" spans="1:16" s="2" customFormat="1" ht="12.75">
      <c r="A18" s="29" t="s">
        <v>14</v>
      </c>
      <c r="B18" s="30">
        <f>C18*0.4</f>
        <v>17500</v>
      </c>
      <c r="C18" s="30">
        <v>43750</v>
      </c>
      <c r="D18" s="30">
        <f>$G$32*$G$33*10%</f>
        <v>0</v>
      </c>
      <c r="E18" s="30">
        <f t="shared" si="0"/>
        <v>61250</v>
      </c>
      <c r="F18" s="30">
        <f t="shared" si="1"/>
        <v>4116.962090307621</v>
      </c>
      <c r="G18" s="11"/>
      <c r="H18" s="24"/>
      <c r="I18" s="20"/>
      <c r="J18" s="20"/>
      <c r="K18" s="20"/>
      <c r="L18" s="20"/>
      <c r="M18" s="20"/>
      <c r="N18" s="20"/>
      <c r="O18" s="20"/>
      <c r="P18" s="17"/>
    </row>
    <row r="19" spans="1:16" s="2" customFormat="1" ht="12.75">
      <c r="A19" s="29" t="s">
        <v>43</v>
      </c>
      <c r="B19" s="30">
        <f>C19*0.4</f>
        <v>14000</v>
      </c>
      <c r="C19" s="31">
        <v>35000</v>
      </c>
      <c r="D19" s="30">
        <f>$G$32*$G$33*10%</f>
        <v>0</v>
      </c>
      <c r="E19" s="30">
        <f t="shared" si="0"/>
        <v>49000</v>
      </c>
      <c r="F19" s="30">
        <f t="shared" si="1"/>
        <v>3293.569672246097</v>
      </c>
      <c r="G19" s="11"/>
      <c r="H19" s="24"/>
      <c r="I19" s="20"/>
      <c r="J19" s="20"/>
      <c r="K19" s="20"/>
      <c r="L19" s="20"/>
      <c r="M19" s="20"/>
      <c r="N19" s="20"/>
      <c r="O19" s="20"/>
      <c r="P19" s="17"/>
    </row>
    <row r="20" spans="1:16" s="2" customFormat="1" ht="12.75">
      <c r="A20" s="29" t="s">
        <v>44</v>
      </c>
      <c r="B20" s="30">
        <f>C20*0.4</f>
        <v>16000</v>
      </c>
      <c r="C20" s="31">
        <v>40000</v>
      </c>
      <c r="D20" s="30">
        <f>$G$32*$G$33*0%</f>
        <v>0</v>
      </c>
      <c r="E20" s="30">
        <f t="shared" si="0"/>
        <v>56000</v>
      </c>
      <c r="F20" s="30">
        <f>-PMT(0.03/1,20,E20)</f>
        <v>3764.079625424111</v>
      </c>
      <c r="G20" s="11"/>
      <c r="H20" s="24"/>
      <c r="I20" s="20"/>
      <c r="J20" s="20"/>
      <c r="K20" s="20"/>
      <c r="L20" s="20"/>
      <c r="M20" s="20"/>
      <c r="N20" s="20"/>
      <c r="O20" s="20"/>
      <c r="P20" s="17"/>
    </row>
    <row r="21" spans="1:16" s="2" customFormat="1" ht="12.75">
      <c r="A21" s="29" t="s">
        <v>1</v>
      </c>
      <c r="B21" s="30">
        <f>C21*0.3</f>
        <v>6000</v>
      </c>
      <c r="C21" s="30">
        <v>20000</v>
      </c>
      <c r="D21" s="30">
        <f>$G$32*$G$33*0%</f>
        <v>0</v>
      </c>
      <c r="E21" s="30">
        <f t="shared" si="0"/>
        <v>26000</v>
      </c>
      <c r="F21" s="30">
        <f t="shared" si="1"/>
        <v>1747.6083975183371</v>
      </c>
      <c r="G21" s="11"/>
      <c r="H21" s="24"/>
      <c r="I21" s="20"/>
      <c r="J21" s="20"/>
      <c r="K21" s="20"/>
      <c r="L21" s="20"/>
      <c r="M21" s="20"/>
      <c r="N21" s="20"/>
      <c r="O21" s="20"/>
      <c r="P21" s="17"/>
    </row>
    <row r="22" spans="1:16" s="2" customFormat="1" ht="18">
      <c r="A22" s="29" t="s">
        <v>80</v>
      </c>
      <c r="B22" s="30">
        <f>C22*0</f>
        <v>0</v>
      </c>
      <c r="C22" s="30">
        <v>61000</v>
      </c>
      <c r="D22" s="30">
        <f>$G$32*$G$33*0%</f>
        <v>0</v>
      </c>
      <c r="E22" s="30">
        <f t="shared" si="0"/>
        <v>61000</v>
      </c>
      <c r="F22" s="30">
        <f t="shared" si="1"/>
        <v>4100.158163408407</v>
      </c>
      <c r="G22" s="11"/>
      <c r="H22" s="24"/>
      <c r="I22" s="20"/>
      <c r="J22" s="20"/>
      <c r="K22" s="20"/>
      <c r="L22" s="20"/>
      <c r="M22" s="20"/>
      <c r="N22" s="20"/>
      <c r="O22" s="20"/>
      <c r="P22" s="17"/>
    </row>
    <row r="23" spans="1:16" s="2" customFormat="1" ht="18">
      <c r="A23" s="29" t="s">
        <v>31</v>
      </c>
      <c r="B23" s="30">
        <v>0</v>
      </c>
      <c r="C23" s="30">
        <f>232.66*26</f>
        <v>6049.16</v>
      </c>
      <c r="D23" s="30">
        <f>$G$32*$G$33*0%</f>
        <v>0</v>
      </c>
      <c r="E23" s="30">
        <f t="shared" si="0"/>
        <v>6049.16</v>
      </c>
      <c r="F23" s="30">
        <f t="shared" si="1"/>
        <v>406.5985697666163</v>
      </c>
      <c r="G23" s="11"/>
      <c r="H23" s="24"/>
      <c r="I23" s="20"/>
      <c r="J23" s="20"/>
      <c r="K23" s="20"/>
      <c r="L23" s="20"/>
      <c r="M23" s="20"/>
      <c r="N23" s="20"/>
      <c r="O23" s="20"/>
      <c r="P23" s="17"/>
    </row>
    <row r="24" spans="1:16" s="2" customFormat="1" ht="12.75">
      <c r="A24" s="29" t="s">
        <v>3</v>
      </c>
      <c r="B24" s="30">
        <f>C24*0.5</f>
        <v>21500</v>
      </c>
      <c r="C24" s="30">
        <v>43000</v>
      </c>
      <c r="D24" s="30">
        <f>$G$32*$G$33*0%</f>
        <v>0</v>
      </c>
      <c r="E24" s="30">
        <f t="shared" si="0"/>
        <v>64500</v>
      </c>
      <c r="F24" s="30">
        <f t="shared" si="1"/>
        <v>4335.413139997414</v>
      </c>
      <c r="G24" s="11"/>
      <c r="H24" s="24"/>
      <c r="I24" s="20"/>
      <c r="J24" s="20"/>
      <c r="K24" s="20"/>
      <c r="L24" s="20"/>
      <c r="M24" s="20"/>
      <c r="N24" s="20"/>
      <c r="O24" s="20"/>
      <c r="P24" s="17"/>
    </row>
    <row r="25" spans="1:16" s="2" customFormat="1" ht="12.75">
      <c r="A25" s="32" t="s">
        <v>74</v>
      </c>
      <c r="B25" s="30">
        <f>C25*0.25</f>
        <v>9375</v>
      </c>
      <c r="C25" s="30">
        <v>37500</v>
      </c>
      <c r="D25" s="30">
        <f>$G$32*$G$33*6%</f>
        <v>0</v>
      </c>
      <c r="E25" s="30">
        <f t="shared" si="0"/>
        <v>46875</v>
      </c>
      <c r="F25" s="30">
        <f t="shared" si="1"/>
        <v>3150.7362936027716</v>
      </c>
      <c r="G25" s="11"/>
      <c r="H25" s="24"/>
      <c r="I25" s="20"/>
      <c r="J25" s="20"/>
      <c r="K25" s="20"/>
      <c r="L25" s="20"/>
      <c r="M25" s="20"/>
      <c r="N25" s="20"/>
      <c r="O25" s="20"/>
      <c r="P25" s="17"/>
    </row>
    <row r="26" spans="1:16" s="2" customFormat="1" ht="12.75">
      <c r="A26" s="32" t="s">
        <v>73</v>
      </c>
      <c r="B26" s="30">
        <f>C26*0.4</f>
        <v>52500</v>
      </c>
      <c r="C26" s="30">
        <f>C25*3.5</f>
        <v>131250</v>
      </c>
      <c r="D26" s="30">
        <f>$G$32*$G$33*6%</f>
        <v>0</v>
      </c>
      <c r="E26" s="30">
        <f>SUM(B26:D26)</f>
        <v>183750</v>
      </c>
      <c r="F26" s="30">
        <f t="shared" si="1"/>
        <v>12350.886270922863</v>
      </c>
      <c r="G26" s="11"/>
      <c r="H26" s="24"/>
      <c r="I26" s="20"/>
      <c r="J26" s="20"/>
      <c r="K26" s="20"/>
      <c r="L26" s="20"/>
      <c r="M26" s="20"/>
      <c r="N26" s="20"/>
      <c r="O26" s="20"/>
      <c r="P26" s="17"/>
    </row>
    <row r="27" spans="1:16" s="2" customFormat="1" ht="12.75">
      <c r="A27" s="32" t="s">
        <v>24</v>
      </c>
      <c r="B27" s="30">
        <f>C27*0.2</f>
        <v>4000</v>
      </c>
      <c r="C27" s="30">
        <v>20000</v>
      </c>
      <c r="D27" s="30">
        <f>$G$32*$G$33*4%</f>
        <v>0</v>
      </c>
      <c r="E27" s="30">
        <f>SUM(B27:D27)</f>
        <v>24000</v>
      </c>
      <c r="F27" s="30">
        <f>-PMT(0.03/1,20,E27)</f>
        <v>1613.176982324619</v>
      </c>
      <c r="G27" s="11"/>
      <c r="H27" s="24"/>
      <c r="I27" s="20"/>
      <c r="J27" s="20"/>
      <c r="K27" s="20"/>
      <c r="L27" s="20"/>
      <c r="M27" s="20"/>
      <c r="N27" s="20"/>
      <c r="O27" s="20"/>
      <c r="P27" s="17"/>
    </row>
    <row r="28" spans="1:16" s="2" customFormat="1" ht="12.75">
      <c r="A28" s="33" t="s">
        <v>15</v>
      </c>
      <c r="B28" s="30">
        <f>C28*0.4</f>
        <v>12000</v>
      </c>
      <c r="C28" s="30">
        <v>30000</v>
      </c>
      <c r="D28" s="30">
        <f>$G$32*$G$33*4%</f>
        <v>0</v>
      </c>
      <c r="E28" s="30">
        <f t="shared" si="0"/>
        <v>42000</v>
      </c>
      <c r="F28" s="30">
        <f t="shared" si="1"/>
        <v>2823.0597190680833</v>
      </c>
      <c r="G28" s="11"/>
      <c r="H28" s="24"/>
      <c r="I28" s="20"/>
      <c r="J28" s="20"/>
      <c r="K28" s="20"/>
      <c r="L28" s="20"/>
      <c r="M28" s="20"/>
      <c r="N28" s="20"/>
      <c r="O28" s="20"/>
      <c r="P28" s="17"/>
    </row>
    <row r="29" spans="1:16" s="2" customFormat="1" ht="12.75" customHeight="1">
      <c r="A29" s="32" t="s">
        <v>16</v>
      </c>
      <c r="B29" s="30">
        <f>C29*0.1</f>
        <v>21780</v>
      </c>
      <c r="C29" s="30">
        <v>217800</v>
      </c>
      <c r="D29" s="30">
        <f>$G$32*$G$33*0%</f>
        <v>0</v>
      </c>
      <c r="E29" s="30">
        <f t="shared" si="0"/>
        <v>239580</v>
      </c>
      <c r="F29" s="30">
        <f t="shared" si="1"/>
        <v>16103.539226055509</v>
      </c>
      <c r="G29" s="11"/>
      <c r="H29" s="24"/>
      <c r="I29" s="20"/>
      <c r="J29" s="20"/>
      <c r="K29" s="20"/>
      <c r="L29" s="20"/>
      <c r="M29" s="20"/>
      <c r="N29" s="20"/>
      <c r="O29" s="20"/>
      <c r="P29" s="17"/>
    </row>
    <row r="30" spans="1:16" s="2" customFormat="1" ht="12.75" customHeight="1">
      <c r="A30" s="34" t="s">
        <v>17</v>
      </c>
      <c r="B30" s="30">
        <f>C30*0.1</f>
        <v>30492</v>
      </c>
      <c r="C30" s="30">
        <v>304920</v>
      </c>
      <c r="D30" s="30">
        <f>$G$32*$G$33*0%</f>
        <v>0</v>
      </c>
      <c r="E30" s="30">
        <f t="shared" si="0"/>
        <v>335412</v>
      </c>
      <c r="F30" s="30">
        <f t="shared" si="1"/>
        <v>22544.954916477713</v>
      </c>
      <c r="G30" s="11"/>
      <c r="H30" s="24"/>
      <c r="I30" s="20"/>
      <c r="J30" s="20"/>
      <c r="K30" s="20"/>
      <c r="L30" s="20"/>
      <c r="M30" s="20"/>
      <c r="N30" s="20"/>
      <c r="O30" s="20"/>
      <c r="P30" s="17"/>
    </row>
    <row r="31" spans="1:7" ht="12.75">
      <c r="A31" s="27"/>
      <c r="B31" s="27"/>
      <c r="C31" s="27"/>
      <c r="D31" s="27"/>
      <c r="E31" s="27"/>
      <c r="F31" s="27"/>
      <c r="G31" s="9"/>
    </row>
    <row r="32" spans="1:7" ht="30" customHeight="1">
      <c r="A32" s="87" t="s">
        <v>83</v>
      </c>
      <c r="B32" s="71"/>
      <c r="C32" s="71"/>
      <c r="D32" s="88"/>
      <c r="E32" s="62"/>
      <c r="F32" s="64" t="s">
        <v>65</v>
      </c>
      <c r="G32" s="65">
        <v>0</v>
      </c>
    </row>
    <row r="33" spans="1:7" ht="30" customHeight="1">
      <c r="A33" s="89" t="s">
        <v>84</v>
      </c>
      <c r="B33" s="90"/>
      <c r="C33" s="90"/>
      <c r="D33" s="91"/>
      <c r="E33" s="63"/>
      <c r="F33" s="64" t="s">
        <v>66</v>
      </c>
      <c r="G33" s="66">
        <v>0.5</v>
      </c>
    </row>
    <row r="34" spans="1:6" ht="46.5" customHeight="1">
      <c r="A34" s="92" t="s">
        <v>99</v>
      </c>
      <c r="B34" s="93"/>
      <c r="C34" s="93"/>
      <c r="D34" s="94"/>
      <c r="E34" s="60"/>
      <c r="F34" s="60"/>
    </row>
    <row r="35" spans="1:8" ht="69" customHeight="1">
      <c r="A35" s="92" t="s">
        <v>71</v>
      </c>
      <c r="B35" s="90"/>
      <c r="C35" s="90"/>
      <c r="D35" s="91"/>
      <c r="E35" s="61"/>
      <c r="F35" s="61"/>
      <c r="G35" s="14"/>
      <c r="H35" s="26"/>
    </row>
    <row r="36" spans="1:11" ht="29.25" customHeight="1">
      <c r="A36" s="89" t="s">
        <v>32</v>
      </c>
      <c r="B36" s="90"/>
      <c r="C36" s="90"/>
      <c r="D36" s="91"/>
      <c r="E36" s="63"/>
      <c r="F36" s="63"/>
      <c r="H36" s="26"/>
      <c r="K36" s="25"/>
    </row>
    <row r="37" spans="1:11" ht="108" customHeight="1">
      <c r="A37" s="92" t="s">
        <v>76</v>
      </c>
      <c r="B37" s="95"/>
      <c r="C37" s="95"/>
      <c r="D37" s="96"/>
      <c r="E37" s="67"/>
      <c r="F37" s="67"/>
      <c r="H37" s="26"/>
      <c r="K37" s="25"/>
    </row>
    <row r="38" spans="1:11" ht="18" customHeight="1">
      <c r="A38" s="97" t="s">
        <v>33</v>
      </c>
      <c r="B38" s="98"/>
      <c r="C38" s="98"/>
      <c r="D38" s="99"/>
      <c r="E38" s="63"/>
      <c r="F38" s="63"/>
      <c r="K38" s="25"/>
    </row>
    <row r="39" spans="1:6" ht="56.25" customHeight="1">
      <c r="A39" s="85"/>
      <c r="B39" s="86"/>
      <c r="C39" s="86"/>
      <c r="D39" s="86"/>
      <c r="E39" s="86"/>
      <c r="F39" s="86"/>
    </row>
    <row r="40" ht="12.75">
      <c r="A40" s="13"/>
    </row>
    <row r="41" ht="12.75">
      <c r="A41" s="13"/>
    </row>
    <row r="43" ht="12.75">
      <c r="A43" s="15"/>
    </row>
    <row r="44" ht="12.75">
      <c r="A44" s="16"/>
    </row>
    <row r="45" ht="12.75">
      <c r="A45" s="15"/>
    </row>
    <row r="46" ht="12.75">
      <c r="A46" s="15"/>
    </row>
    <row r="47" ht="12.75">
      <c r="A47" s="15"/>
    </row>
    <row r="48" ht="12.75">
      <c r="A48" s="15"/>
    </row>
    <row r="49" ht="12.75">
      <c r="A49" s="15"/>
    </row>
    <row r="50" ht="12.75">
      <c r="A50" s="15"/>
    </row>
    <row r="51" ht="12.75">
      <c r="A51" s="15"/>
    </row>
  </sheetData>
  <sheetProtection/>
  <mergeCells count="17">
    <mergeCell ref="A39:F39"/>
    <mergeCell ref="A32:D32"/>
    <mergeCell ref="A33:D33"/>
    <mergeCell ref="A34:D34"/>
    <mergeCell ref="A35:D35"/>
    <mergeCell ref="A36:D36"/>
    <mergeCell ref="A37:D37"/>
    <mergeCell ref="A38:D38"/>
    <mergeCell ref="A1:G1"/>
    <mergeCell ref="A2:G2"/>
    <mergeCell ref="A3:G3"/>
    <mergeCell ref="N5:N6"/>
    <mergeCell ref="M5:M6"/>
    <mergeCell ref="I5:K5"/>
    <mergeCell ref="L5:L6"/>
    <mergeCell ref="A5:A6"/>
    <mergeCell ref="B5:F5"/>
  </mergeCells>
  <printOptions/>
  <pageMargins left="0.75" right="0.75" top="1" bottom="1" header="0.5" footer="0.5"/>
  <pageSetup horizontalDpi="600" verticalDpi="600" orientation="landscape" scale="58" r:id="rId1"/>
  <colBreaks count="2" manualBreakCount="2">
    <brk id="8" max="40" man="1"/>
    <brk id="14" max="40" man="1"/>
  </colBreaks>
  <ignoredErrors>
    <ignoredError sqref="D14 B12 B14 B21 B27" formula="1"/>
  </ignoredErrors>
</worksheet>
</file>

<file path=xl/worksheets/sheet3.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G1"/>
    </sheetView>
  </sheetViews>
  <sheetFormatPr defaultColWidth="9.140625" defaultRowHeight="12.75"/>
  <cols>
    <col min="1" max="1" width="53.8515625" style="0" customWidth="1"/>
    <col min="2" max="2" width="14.7109375" style="0" customWidth="1"/>
    <col min="3" max="3" width="14.00390625" style="0" customWidth="1"/>
    <col min="4" max="4" width="13.140625" style="0" customWidth="1"/>
    <col min="5" max="7" width="16.00390625" style="0" customWidth="1"/>
  </cols>
  <sheetData>
    <row r="1" spans="1:7" ht="20.25">
      <c r="A1" s="77" t="s">
        <v>68</v>
      </c>
      <c r="B1" s="77"/>
      <c r="C1" s="77"/>
      <c r="D1" s="77"/>
      <c r="E1" s="77"/>
      <c r="F1" s="77"/>
      <c r="G1" s="103"/>
    </row>
    <row r="2" spans="1:8" ht="15.75">
      <c r="A2" s="78" t="s">
        <v>26</v>
      </c>
      <c r="B2" s="78"/>
      <c r="C2" s="78"/>
      <c r="D2" s="78"/>
      <c r="E2" s="78"/>
      <c r="F2" s="78"/>
      <c r="G2" s="78"/>
      <c r="H2" s="14"/>
    </row>
    <row r="3" spans="1:8" ht="15.75">
      <c r="A3" s="78" t="s">
        <v>8</v>
      </c>
      <c r="B3" s="78"/>
      <c r="C3" s="78"/>
      <c r="D3" s="78"/>
      <c r="E3" s="78"/>
      <c r="F3" s="78"/>
      <c r="G3" s="78"/>
      <c r="H3" s="14"/>
    </row>
    <row r="5" spans="1:8" ht="43.5" customHeight="1">
      <c r="A5" s="80" t="s">
        <v>25</v>
      </c>
      <c r="B5" s="82" t="s">
        <v>5</v>
      </c>
      <c r="C5" s="83"/>
      <c r="D5" s="83"/>
      <c r="E5" s="80" t="s">
        <v>34</v>
      </c>
      <c r="F5" s="104" t="s">
        <v>85</v>
      </c>
      <c r="G5" s="105"/>
      <c r="H5" s="12"/>
    </row>
    <row r="6" spans="1:7" ht="56.25">
      <c r="A6" s="81"/>
      <c r="B6" s="37" t="s">
        <v>35</v>
      </c>
      <c r="C6" s="38" t="s">
        <v>36</v>
      </c>
      <c r="D6" s="38" t="s">
        <v>18</v>
      </c>
      <c r="E6" s="81"/>
      <c r="F6" s="28" t="s">
        <v>98</v>
      </c>
      <c r="G6" s="28" t="s">
        <v>86</v>
      </c>
    </row>
    <row r="7" spans="1:7" ht="12.75">
      <c r="A7" s="29" t="s">
        <v>0</v>
      </c>
      <c r="B7" s="30">
        <f>('Table A'!C7*0.01)</f>
        <v>875</v>
      </c>
      <c r="C7" s="30">
        <f>('Table A'!C7*0)</f>
        <v>0</v>
      </c>
      <c r="D7" s="30">
        <f>SUM(B7:C7)</f>
        <v>875</v>
      </c>
      <c r="E7" s="39">
        <f>20.67*0.5</f>
        <v>10.335</v>
      </c>
      <c r="F7" s="30">
        <f aca="true" t="shared" si="0" ref="F7:F30">SUM(D7+E7)*20</f>
        <v>17706.7</v>
      </c>
      <c r="G7" s="40">
        <f aca="true" t="shared" si="1" ref="G7:G30">D7+E7</f>
        <v>885.335</v>
      </c>
    </row>
    <row r="8" spans="1:7" ht="12.75">
      <c r="A8" s="29" t="s">
        <v>77</v>
      </c>
      <c r="B8" s="30">
        <f>'Table A'!C8*0.02</f>
        <v>600</v>
      </c>
      <c r="C8" s="30">
        <f>('Table A'!C8*0.02)</f>
        <v>600</v>
      </c>
      <c r="D8" s="30">
        <f aca="true" t="shared" si="2" ref="D8:D30">SUM(B8:C8)</f>
        <v>1200</v>
      </c>
      <c r="E8" s="39">
        <f>20.67*0.5</f>
        <v>10.335</v>
      </c>
      <c r="F8" s="30">
        <f t="shared" si="0"/>
        <v>24206.7</v>
      </c>
      <c r="G8" s="40">
        <f t="shared" si="1"/>
        <v>1210.335</v>
      </c>
    </row>
    <row r="9" spans="1:7" ht="12.75">
      <c r="A9" s="29" t="s">
        <v>78</v>
      </c>
      <c r="B9" s="30">
        <f>'Table A'!C9*0.02</f>
        <v>430</v>
      </c>
      <c r="C9" s="30">
        <f>('Table A'!C9*0.02)</f>
        <v>430</v>
      </c>
      <c r="D9" s="30">
        <f>SUM(B9:C9)</f>
        <v>860</v>
      </c>
      <c r="E9" s="39">
        <f>20.67*0.5</f>
        <v>10.335</v>
      </c>
      <c r="F9" s="30">
        <f t="shared" si="0"/>
        <v>17406.7</v>
      </c>
      <c r="G9" s="40">
        <f t="shared" si="1"/>
        <v>870.335</v>
      </c>
    </row>
    <row r="10" spans="1:7" ht="12.75">
      <c r="A10" s="29" t="s">
        <v>79</v>
      </c>
      <c r="B10" s="30">
        <f>'Table A'!C10*0.02</f>
        <v>600</v>
      </c>
      <c r="C10" s="30">
        <f>('Table A'!C10*0.02)</f>
        <v>600</v>
      </c>
      <c r="D10" s="30">
        <f t="shared" si="2"/>
        <v>1200</v>
      </c>
      <c r="E10" s="39">
        <f>20.67*0.5</f>
        <v>10.335</v>
      </c>
      <c r="F10" s="30">
        <f t="shared" si="0"/>
        <v>24206.7</v>
      </c>
      <c r="G10" s="40">
        <f t="shared" si="1"/>
        <v>1210.335</v>
      </c>
    </row>
    <row r="11" spans="1:7" ht="12.75">
      <c r="A11" s="29" t="s">
        <v>9</v>
      </c>
      <c r="B11" s="30">
        <f>'Table A'!C11*0.02</f>
        <v>371</v>
      </c>
      <c r="C11" s="30">
        <f>('Table A'!C11*0.02)</f>
        <v>371</v>
      </c>
      <c r="D11" s="30">
        <f t="shared" si="2"/>
        <v>742</v>
      </c>
      <c r="E11" s="39">
        <f>20.67*1</f>
        <v>20.67</v>
      </c>
      <c r="F11" s="30">
        <f t="shared" si="0"/>
        <v>15253.4</v>
      </c>
      <c r="G11" s="40">
        <f t="shared" si="1"/>
        <v>762.67</v>
      </c>
    </row>
    <row r="12" spans="1:7" ht="12.75">
      <c r="A12" s="29" t="s">
        <v>10</v>
      </c>
      <c r="B12" s="30">
        <f>B11</f>
        <v>371</v>
      </c>
      <c r="C12" s="30">
        <f>C11</f>
        <v>371</v>
      </c>
      <c r="D12" s="30">
        <f>SUM(B12:C12)</f>
        <v>742</v>
      </c>
      <c r="E12" s="39">
        <f>20.67*1</f>
        <v>20.67</v>
      </c>
      <c r="F12" s="30">
        <f t="shared" si="0"/>
        <v>15253.4</v>
      </c>
      <c r="G12" s="40">
        <f t="shared" si="1"/>
        <v>762.67</v>
      </c>
    </row>
    <row r="13" spans="1:7" ht="12.75">
      <c r="A13" s="29" t="s">
        <v>42</v>
      </c>
      <c r="B13" s="30">
        <f>'Table A'!C13*0.02</f>
        <v>600</v>
      </c>
      <c r="C13" s="30">
        <f>('Table A'!C13*0.02)</f>
        <v>600</v>
      </c>
      <c r="D13" s="30">
        <f t="shared" si="2"/>
        <v>1200</v>
      </c>
      <c r="E13" s="39">
        <f>20.67*1.5</f>
        <v>31.005000000000003</v>
      </c>
      <c r="F13" s="30">
        <f t="shared" si="0"/>
        <v>24620.100000000002</v>
      </c>
      <c r="G13" s="40">
        <f t="shared" si="1"/>
        <v>1231.005</v>
      </c>
    </row>
    <row r="14" spans="1:7" ht="12.75">
      <c r="A14" s="29" t="s">
        <v>41</v>
      </c>
      <c r="B14" s="30">
        <f>'Table A'!C14*0.05</f>
        <v>1750</v>
      </c>
      <c r="C14" s="30">
        <f>('Table A'!C14*0.05)</f>
        <v>1750</v>
      </c>
      <c r="D14" s="30">
        <f>SUM(B14:C14)</f>
        <v>3500</v>
      </c>
      <c r="E14" s="39">
        <f>20.67*1.5</f>
        <v>31.005000000000003</v>
      </c>
      <c r="F14" s="30">
        <f t="shared" si="0"/>
        <v>70620.1</v>
      </c>
      <c r="G14" s="40">
        <f t="shared" si="1"/>
        <v>3531.005</v>
      </c>
    </row>
    <row r="15" spans="1:7" ht="12.75">
      <c r="A15" s="29" t="s">
        <v>11</v>
      </c>
      <c r="B15" s="30">
        <f>'Table A'!C15*0.02</f>
        <v>600</v>
      </c>
      <c r="C15" s="30">
        <f>('Table A'!C15*0.02)</f>
        <v>600</v>
      </c>
      <c r="D15" s="30">
        <f t="shared" si="2"/>
        <v>1200</v>
      </c>
      <c r="E15" s="39">
        <f aca="true" t="shared" si="3" ref="E15:E20">20.67*1.5</f>
        <v>31.005000000000003</v>
      </c>
      <c r="F15" s="30">
        <f t="shared" si="0"/>
        <v>24620.100000000002</v>
      </c>
      <c r="G15" s="40">
        <f t="shared" si="1"/>
        <v>1231.005</v>
      </c>
    </row>
    <row r="16" spans="1:7" ht="12.75">
      <c r="A16" s="29" t="s">
        <v>12</v>
      </c>
      <c r="B16" s="30">
        <f>B15</f>
        <v>600</v>
      </c>
      <c r="C16" s="30">
        <f>C15</f>
        <v>600</v>
      </c>
      <c r="D16" s="30">
        <f t="shared" si="2"/>
        <v>1200</v>
      </c>
      <c r="E16" s="39">
        <f t="shared" si="3"/>
        <v>31.005000000000003</v>
      </c>
      <c r="F16" s="30">
        <f t="shared" si="0"/>
        <v>24620.100000000002</v>
      </c>
      <c r="G16" s="40">
        <f t="shared" si="1"/>
        <v>1231.005</v>
      </c>
    </row>
    <row r="17" spans="1:7" ht="12.75">
      <c r="A17" s="29" t="s">
        <v>13</v>
      </c>
      <c r="B17" s="30">
        <f>'Table A'!C17*0.01</f>
        <v>417.5</v>
      </c>
      <c r="C17" s="30">
        <f>('Table A'!C17*0.01)</f>
        <v>417.5</v>
      </c>
      <c r="D17" s="30">
        <f t="shared" si="2"/>
        <v>835</v>
      </c>
      <c r="E17" s="39">
        <f t="shared" si="3"/>
        <v>31.005000000000003</v>
      </c>
      <c r="F17" s="30">
        <f t="shared" si="0"/>
        <v>17320.1</v>
      </c>
      <c r="G17" s="40">
        <f t="shared" si="1"/>
        <v>866.005</v>
      </c>
    </row>
    <row r="18" spans="1:7" ht="12.75">
      <c r="A18" s="29" t="s">
        <v>14</v>
      </c>
      <c r="B18" s="30">
        <f>'Table A'!C18*0.01</f>
        <v>437.5</v>
      </c>
      <c r="C18" s="30">
        <f>('Table A'!C18*0.01)</f>
        <v>437.5</v>
      </c>
      <c r="D18" s="30">
        <f t="shared" si="2"/>
        <v>875</v>
      </c>
      <c r="E18" s="39">
        <f t="shared" si="3"/>
        <v>31.005000000000003</v>
      </c>
      <c r="F18" s="30">
        <f t="shared" si="0"/>
        <v>18120.1</v>
      </c>
      <c r="G18" s="40">
        <f t="shared" si="1"/>
        <v>906.005</v>
      </c>
    </row>
    <row r="19" spans="1:7" ht="12.75">
      <c r="A19" s="29" t="s">
        <v>43</v>
      </c>
      <c r="B19" s="30">
        <f>'Table A'!C19*0.02</f>
        <v>700</v>
      </c>
      <c r="C19" s="30">
        <f>('Table A'!C19*0.02)</f>
        <v>700</v>
      </c>
      <c r="D19" s="30">
        <f t="shared" si="2"/>
        <v>1400</v>
      </c>
      <c r="E19" s="39">
        <f t="shared" si="3"/>
        <v>31.005000000000003</v>
      </c>
      <c r="F19" s="30">
        <f t="shared" si="0"/>
        <v>28620.100000000002</v>
      </c>
      <c r="G19" s="40">
        <f t="shared" si="1"/>
        <v>1431.005</v>
      </c>
    </row>
    <row r="20" spans="1:7" ht="12.75">
      <c r="A20" s="29" t="s">
        <v>44</v>
      </c>
      <c r="B20" s="30">
        <f>'Table A'!C20*0.02</f>
        <v>800</v>
      </c>
      <c r="C20" s="30">
        <f>('Table A'!C20*0.02)</f>
        <v>800</v>
      </c>
      <c r="D20" s="30">
        <f>SUM(B20:C20)</f>
        <v>1600</v>
      </c>
      <c r="E20" s="39">
        <f t="shared" si="3"/>
        <v>31.005000000000003</v>
      </c>
      <c r="F20" s="30">
        <f t="shared" si="0"/>
        <v>32620.100000000002</v>
      </c>
      <c r="G20" s="40">
        <f t="shared" si="1"/>
        <v>1631.005</v>
      </c>
    </row>
    <row r="21" spans="1:7" ht="12.75">
      <c r="A21" s="29" t="s">
        <v>1</v>
      </c>
      <c r="B21" s="30">
        <v>0</v>
      </c>
      <c r="C21" s="30">
        <v>0</v>
      </c>
      <c r="D21" s="30">
        <f>SUM(B21:C21)</f>
        <v>0</v>
      </c>
      <c r="E21" s="39">
        <f>(20.67*0.5)</f>
        <v>10.335</v>
      </c>
      <c r="F21" s="30">
        <f t="shared" si="0"/>
        <v>206.70000000000002</v>
      </c>
      <c r="G21" s="40">
        <f t="shared" si="1"/>
        <v>10.335</v>
      </c>
    </row>
    <row r="22" spans="1:7" ht="12.75">
      <c r="A22" s="29" t="s">
        <v>81</v>
      </c>
      <c r="B22" s="30">
        <f>'Table A'!C22*0</f>
        <v>0</v>
      </c>
      <c r="C22" s="30">
        <f>('Table A'!C22*0)</f>
        <v>0</v>
      </c>
      <c r="D22" s="30">
        <f t="shared" si="2"/>
        <v>0</v>
      </c>
      <c r="E22" s="39">
        <f>20.67*1.5</f>
        <v>31.005000000000003</v>
      </c>
      <c r="F22" s="30">
        <f t="shared" si="0"/>
        <v>620.1</v>
      </c>
      <c r="G22" s="40">
        <f t="shared" si="1"/>
        <v>31.005000000000003</v>
      </c>
    </row>
    <row r="23" spans="1:7" ht="12.75" customHeight="1">
      <c r="A23" s="29" t="s">
        <v>2</v>
      </c>
      <c r="B23" s="30">
        <f>16.57*26</f>
        <v>430.82</v>
      </c>
      <c r="C23" s="30">
        <v>0</v>
      </c>
      <c r="D23" s="30">
        <f t="shared" si="2"/>
        <v>430.82</v>
      </c>
      <c r="E23" s="39">
        <f>20.67*1</f>
        <v>20.67</v>
      </c>
      <c r="F23" s="30">
        <f t="shared" si="0"/>
        <v>9029.8</v>
      </c>
      <c r="G23" s="40">
        <f t="shared" si="1"/>
        <v>451.49</v>
      </c>
    </row>
    <row r="24" spans="1:7" ht="12.75">
      <c r="A24" s="29" t="s">
        <v>3</v>
      </c>
      <c r="B24" s="30">
        <f>'Table A'!C24*0</f>
        <v>0</v>
      </c>
      <c r="C24" s="30">
        <f>'Table A'!C24*0.02</f>
        <v>860</v>
      </c>
      <c r="D24" s="30">
        <f t="shared" si="2"/>
        <v>860</v>
      </c>
      <c r="E24" s="39">
        <f>20.67*1.5</f>
        <v>31.005000000000003</v>
      </c>
      <c r="F24" s="30">
        <f t="shared" si="0"/>
        <v>17820.1</v>
      </c>
      <c r="G24" s="40">
        <f t="shared" si="1"/>
        <v>891.005</v>
      </c>
    </row>
    <row r="25" spans="1:7" ht="12.75">
      <c r="A25" s="32" t="s">
        <v>74</v>
      </c>
      <c r="B25" s="30">
        <f>'Table A'!C25*0.02</f>
        <v>750</v>
      </c>
      <c r="C25" s="30">
        <f>'Table A'!C25*0.02</f>
        <v>750</v>
      </c>
      <c r="D25" s="30">
        <f t="shared" si="2"/>
        <v>1500</v>
      </c>
      <c r="E25" s="39">
        <f>20.67*1.5</f>
        <v>31.005000000000003</v>
      </c>
      <c r="F25" s="30">
        <f t="shared" si="0"/>
        <v>30620.100000000002</v>
      </c>
      <c r="G25" s="40">
        <f t="shared" si="1"/>
        <v>1531.005</v>
      </c>
    </row>
    <row r="26" spans="1:7" ht="12.75">
      <c r="A26" s="32" t="s">
        <v>73</v>
      </c>
      <c r="B26" s="30">
        <f>B25</f>
        <v>750</v>
      </c>
      <c r="C26" s="30">
        <f>C25</f>
        <v>750</v>
      </c>
      <c r="D26" s="30">
        <f t="shared" si="2"/>
        <v>1500</v>
      </c>
      <c r="E26" s="39">
        <f>20.67*1.5</f>
        <v>31.005000000000003</v>
      </c>
      <c r="F26" s="30">
        <f t="shared" si="0"/>
        <v>30620.100000000002</v>
      </c>
      <c r="G26" s="40">
        <f t="shared" si="1"/>
        <v>1531.005</v>
      </c>
    </row>
    <row r="27" spans="1:7" ht="12.75">
      <c r="A27" s="32" t="s">
        <v>24</v>
      </c>
      <c r="B27" s="30">
        <f>'Table A'!C27*0.02</f>
        <v>400</v>
      </c>
      <c r="C27" s="30">
        <f>'Table A'!C27*0.01</f>
        <v>200</v>
      </c>
      <c r="D27" s="30">
        <f>SUM(B27:C27)</f>
        <v>600</v>
      </c>
      <c r="E27" s="39">
        <f>20.67*0.5</f>
        <v>10.335</v>
      </c>
      <c r="F27" s="30">
        <f t="shared" si="0"/>
        <v>12206.7</v>
      </c>
      <c r="G27" s="40">
        <f t="shared" si="1"/>
        <v>610.335</v>
      </c>
    </row>
    <row r="28" spans="1:7" ht="12.75">
      <c r="A28" s="33" t="s">
        <v>15</v>
      </c>
      <c r="B28" s="30">
        <f>'Table A'!C28*0.02</f>
        <v>600</v>
      </c>
      <c r="C28" s="30">
        <f>'Table A'!C28*0.01</f>
        <v>300</v>
      </c>
      <c r="D28" s="30">
        <f t="shared" si="2"/>
        <v>900</v>
      </c>
      <c r="E28" s="39">
        <f>20.67*1.5</f>
        <v>31.005000000000003</v>
      </c>
      <c r="F28" s="30">
        <f t="shared" si="0"/>
        <v>18620.1</v>
      </c>
      <c r="G28" s="40">
        <f t="shared" si="1"/>
        <v>931.005</v>
      </c>
    </row>
    <row r="29" spans="1:7" ht="12.75">
      <c r="A29" s="32" t="s">
        <v>16</v>
      </c>
      <c r="B29" s="30">
        <f>'Table A'!C29*0.005</f>
        <v>1089</v>
      </c>
      <c r="C29" s="30">
        <f>'Table A'!C29*0.005</f>
        <v>1089</v>
      </c>
      <c r="D29" s="30">
        <f t="shared" si="2"/>
        <v>2178</v>
      </c>
      <c r="E29" s="39">
        <f>20.67*0.5</f>
        <v>10.335</v>
      </c>
      <c r="F29" s="30">
        <f t="shared" si="0"/>
        <v>43766.7</v>
      </c>
      <c r="G29" s="40">
        <f t="shared" si="1"/>
        <v>2188.335</v>
      </c>
    </row>
    <row r="30" spans="1:7" ht="12.75">
      <c r="A30" s="34" t="s">
        <v>17</v>
      </c>
      <c r="B30" s="30">
        <f>'Table A'!C30*0.005</f>
        <v>1524.6000000000001</v>
      </c>
      <c r="C30" s="30">
        <f>'Table A'!C30*0.005</f>
        <v>1524.6000000000001</v>
      </c>
      <c r="D30" s="30">
        <f t="shared" si="2"/>
        <v>3049.2000000000003</v>
      </c>
      <c r="E30" s="39">
        <f>20.67*0.5</f>
        <v>10.335</v>
      </c>
      <c r="F30" s="30">
        <f t="shared" si="0"/>
        <v>61190.700000000004</v>
      </c>
      <c r="G30" s="40">
        <f t="shared" si="1"/>
        <v>3059.5350000000003</v>
      </c>
    </row>
    <row r="31" spans="1:7" ht="12.75">
      <c r="A31" s="27"/>
      <c r="B31" s="27"/>
      <c r="C31" s="27"/>
      <c r="D31" s="27"/>
      <c r="E31" s="27"/>
      <c r="F31" s="27"/>
      <c r="G31" s="27"/>
    </row>
    <row r="32" spans="1:7" ht="12.75">
      <c r="A32" s="27"/>
      <c r="B32" s="27"/>
      <c r="C32" s="27"/>
      <c r="D32" s="27"/>
      <c r="E32" s="27"/>
      <c r="F32" s="27"/>
      <c r="G32" s="27"/>
    </row>
    <row r="33" spans="1:7" ht="30" customHeight="1">
      <c r="A33" s="101" t="s">
        <v>45</v>
      </c>
      <c r="B33" s="101"/>
      <c r="C33" s="101"/>
      <c r="D33" s="101"/>
      <c r="E33" s="101"/>
      <c r="F33" s="101"/>
      <c r="G33" s="101"/>
    </row>
    <row r="34" spans="1:7" ht="18">
      <c r="A34" s="102" t="s">
        <v>37</v>
      </c>
      <c r="B34" s="102"/>
      <c r="C34" s="102"/>
      <c r="D34" s="102"/>
      <c r="E34" s="102"/>
      <c r="F34" s="102"/>
      <c r="G34" s="102"/>
    </row>
    <row r="35" spans="1:7" ht="18">
      <c r="A35" s="102" t="s">
        <v>38</v>
      </c>
      <c r="B35" s="102"/>
      <c r="C35" s="102"/>
      <c r="D35" s="102"/>
      <c r="E35" s="102"/>
      <c r="F35" s="102"/>
      <c r="G35" s="102"/>
    </row>
    <row r="36" spans="1:7" ht="18">
      <c r="A36" s="100" t="s">
        <v>87</v>
      </c>
      <c r="B36" s="100"/>
      <c r="C36" s="100"/>
      <c r="D36" s="100"/>
      <c r="E36" s="100"/>
      <c r="F36" s="100"/>
      <c r="G36" s="100"/>
    </row>
    <row r="37" ht="12.75">
      <c r="A37" s="5"/>
    </row>
  </sheetData>
  <sheetProtection/>
  <mergeCells count="11">
    <mergeCell ref="A1:G1"/>
    <mergeCell ref="A2:G2"/>
    <mergeCell ref="A3:G3"/>
    <mergeCell ref="E5:E6"/>
    <mergeCell ref="A5:A6"/>
    <mergeCell ref="B5:D5"/>
    <mergeCell ref="F5:G5"/>
    <mergeCell ref="A36:G36"/>
    <mergeCell ref="A33:G33"/>
    <mergeCell ref="A34:G34"/>
    <mergeCell ref="A35:G35"/>
  </mergeCells>
  <printOptions/>
  <pageMargins left="0.75" right="0.75" top="1" bottom="1" header="0.5" footer="0.5"/>
  <pageSetup horizontalDpi="600" verticalDpi="600" orientation="landscape" scale="82" r:id="rId1"/>
  <ignoredErrors>
    <ignoredError sqref="E21 E23 E27:E28 D14 D27" formula="1"/>
  </ignoredErrors>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F1"/>
    </sheetView>
  </sheetViews>
  <sheetFormatPr defaultColWidth="9.140625" defaultRowHeight="12.75"/>
  <cols>
    <col min="1" max="1" width="53.8515625" style="0" customWidth="1"/>
    <col min="2" max="3" width="14.00390625" style="0" customWidth="1"/>
    <col min="4" max="4" width="15.28125" style="0" customWidth="1"/>
    <col min="5" max="5" width="14.28125" style="0" customWidth="1"/>
    <col min="6" max="6" width="14.8515625" style="0" customWidth="1"/>
  </cols>
  <sheetData>
    <row r="1" spans="1:7" ht="20.25">
      <c r="A1" s="77" t="s">
        <v>69</v>
      </c>
      <c r="B1" s="77"/>
      <c r="C1" s="77"/>
      <c r="D1" s="77"/>
      <c r="E1" s="77"/>
      <c r="F1" s="77"/>
      <c r="G1" s="4"/>
    </row>
    <row r="2" spans="1:9" ht="15.75">
      <c r="A2" s="78" t="s">
        <v>26</v>
      </c>
      <c r="B2" s="78"/>
      <c r="C2" s="78"/>
      <c r="D2" s="78"/>
      <c r="E2" s="78"/>
      <c r="F2" s="78"/>
      <c r="G2" s="4"/>
      <c r="H2" s="4"/>
      <c r="I2" s="14"/>
    </row>
    <row r="3" spans="1:9" ht="15.75">
      <c r="A3" s="78" t="s">
        <v>40</v>
      </c>
      <c r="B3" s="78"/>
      <c r="C3" s="78"/>
      <c r="D3" s="78"/>
      <c r="E3" s="78"/>
      <c r="F3" s="78"/>
      <c r="G3" s="4"/>
      <c r="H3" s="4"/>
      <c r="I3" s="14"/>
    </row>
    <row r="4" ht="12.75">
      <c r="I4" s="12"/>
    </row>
    <row r="5" spans="1:6" ht="31.5" customHeight="1">
      <c r="A5" s="80" t="s">
        <v>25</v>
      </c>
      <c r="B5" s="104" t="s">
        <v>88</v>
      </c>
      <c r="C5" s="109"/>
      <c r="D5" s="80" t="s">
        <v>72</v>
      </c>
      <c r="E5" s="104" t="s">
        <v>19</v>
      </c>
      <c r="F5" s="104"/>
    </row>
    <row r="6" spans="1:10" ht="24.75" customHeight="1">
      <c r="A6" s="81"/>
      <c r="B6" s="28" t="s">
        <v>20</v>
      </c>
      <c r="C6" s="28" t="s">
        <v>89</v>
      </c>
      <c r="D6" s="108"/>
      <c r="E6" s="28" t="s">
        <v>90</v>
      </c>
      <c r="F6" s="28" t="s">
        <v>91</v>
      </c>
      <c r="I6" s="12"/>
      <c r="J6" s="12"/>
    </row>
    <row r="7" spans="1:6" ht="12.75">
      <c r="A7" s="29" t="s">
        <v>0</v>
      </c>
      <c r="B7" s="30">
        <f>'Table A'!E7</f>
        <v>96250</v>
      </c>
      <c r="C7" s="30">
        <f>'Table A'!F7</f>
        <v>6469.511856197691</v>
      </c>
      <c r="D7" s="30">
        <f>'Table B'!G7</f>
        <v>885.335</v>
      </c>
      <c r="E7" s="41">
        <f>B7+(20*D7)</f>
        <v>113956.7</v>
      </c>
      <c r="F7" s="30">
        <f aca="true" t="shared" si="0" ref="F7:F30">E7/20</f>
        <v>5697.835</v>
      </c>
    </row>
    <row r="8" spans="1:6" ht="12.75">
      <c r="A8" s="29" t="s">
        <v>77</v>
      </c>
      <c r="B8" s="30">
        <f>'Table A'!E8</f>
        <v>33000</v>
      </c>
      <c r="C8" s="30">
        <f>'Table A'!F8</f>
        <v>2218.118350696351</v>
      </c>
      <c r="D8" s="30">
        <f>'Table B'!G8</f>
        <v>1210.335</v>
      </c>
      <c r="E8" s="30">
        <f aca="true" t="shared" si="1" ref="E8:E30">B8+(20*D8)</f>
        <v>57206.7</v>
      </c>
      <c r="F8" s="30">
        <f t="shared" si="0"/>
        <v>2860.335</v>
      </c>
    </row>
    <row r="9" spans="1:6" ht="12.75">
      <c r="A9" s="29" t="s">
        <v>78</v>
      </c>
      <c r="B9" s="30">
        <f>'Table A'!E9</f>
        <v>23650</v>
      </c>
      <c r="C9" s="30">
        <f>'Table A'!F9</f>
        <v>1589.6514846657185</v>
      </c>
      <c r="D9" s="30">
        <f>'Table B'!G9</f>
        <v>870.335</v>
      </c>
      <c r="E9" s="30">
        <f t="shared" si="1"/>
        <v>41056.7</v>
      </c>
      <c r="F9" s="30">
        <f>E9/20</f>
        <v>2052.835</v>
      </c>
    </row>
    <row r="10" spans="1:6" ht="12.75">
      <c r="A10" s="29" t="s">
        <v>79</v>
      </c>
      <c r="B10" s="30">
        <f>'Table A'!E10</f>
        <v>33000</v>
      </c>
      <c r="C10" s="30">
        <f>'Table A'!F10</f>
        <v>2218.118350696351</v>
      </c>
      <c r="D10" s="30">
        <f>'Table B'!G10</f>
        <v>1210.335</v>
      </c>
      <c r="E10" s="30">
        <f t="shared" si="1"/>
        <v>57206.7</v>
      </c>
      <c r="F10" s="30">
        <f t="shared" si="0"/>
        <v>2860.335</v>
      </c>
    </row>
    <row r="11" spans="1:6" ht="12.75">
      <c r="A11" s="29" t="s">
        <v>9</v>
      </c>
      <c r="B11" s="30">
        <f>'Table A'!E11</f>
        <v>24115</v>
      </c>
      <c r="C11" s="30">
        <f>'Table A'!F11</f>
        <v>1620.9067886982577</v>
      </c>
      <c r="D11" s="30">
        <f>'Table B'!G11</f>
        <v>762.67</v>
      </c>
      <c r="E11" s="30">
        <f t="shared" si="1"/>
        <v>39368.4</v>
      </c>
      <c r="F11" s="30">
        <f t="shared" si="0"/>
        <v>1968.42</v>
      </c>
    </row>
    <row r="12" spans="1:6" ht="12.75">
      <c r="A12" s="29" t="s">
        <v>10</v>
      </c>
      <c r="B12" s="30">
        <f>'Table A'!E12</f>
        <v>63997.5</v>
      </c>
      <c r="C12" s="30">
        <f>'Table A'!F12</f>
        <v>4301.637246929992</v>
      </c>
      <c r="D12" s="30">
        <f>'Table B'!G12</f>
        <v>762.67</v>
      </c>
      <c r="E12" s="30">
        <f t="shared" si="1"/>
        <v>79250.9</v>
      </c>
      <c r="F12" s="30">
        <f>E12/20</f>
        <v>3962.5449999999996</v>
      </c>
    </row>
    <row r="13" spans="1:6" ht="12.75">
      <c r="A13" s="29" t="s">
        <v>42</v>
      </c>
      <c r="B13" s="30">
        <f>'Table A'!E13</f>
        <v>39000</v>
      </c>
      <c r="C13" s="30">
        <f>'Table A'!F13</f>
        <v>2621.412596277506</v>
      </c>
      <c r="D13" s="30">
        <f>'Table B'!G13</f>
        <v>1231.005</v>
      </c>
      <c r="E13" s="30">
        <f t="shared" si="1"/>
        <v>63620.100000000006</v>
      </c>
      <c r="F13" s="30">
        <f t="shared" si="0"/>
        <v>3181.005</v>
      </c>
    </row>
    <row r="14" spans="1:6" ht="12.75">
      <c r="A14" s="29" t="s">
        <v>41</v>
      </c>
      <c r="B14" s="30">
        <f>'Table A'!E14</f>
        <v>42000</v>
      </c>
      <c r="C14" s="30">
        <f>'Table A'!F14</f>
        <v>2823.0597190680833</v>
      </c>
      <c r="D14" s="30">
        <f>'Table B'!G14</f>
        <v>3531.005</v>
      </c>
      <c r="E14" s="30">
        <f>B14+(20*D14)</f>
        <v>112620.1</v>
      </c>
      <c r="F14" s="30">
        <f>E14/20</f>
        <v>5631.005</v>
      </c>
    </row>
    <row r="15" spans="1:6" ht="12.75">
      <c r="A15" s="29" t="s">
        <v>11</v>
      </c>
      <c r="B15" s="30">
        <f>'Table A'!E15</f>
        <v>39000</v>
      </c>
      <c r="C15" s="30">
        <f>'Table A'!F15</f>
        <v>2621.412596277506</v>
      </c>
      <c r="D15" s="30">
        <f>'Table B'!G15</f>
        <v>1231.005</v>
      </c>
      <c r="E15" s="30">
        <f t="shared" si="1"/>
        <v>63620.100000000006</v>
      </c>
      <c r="F15" s="30">
        <f t="shared" si="0"/>
        <v>3181.005</v>
      </c>
    </row>
    <row r="16" spans="1:6" ht="12.75">
      <c r="A16" s="29" t="s">
        <v>12</v>
      </c>
      <c r="B16" s="30">
        <f>'Table A'!E16</f>
        <v>67500</v>
      </c>
      <c r="C16" s="30">
        <f>'Table A'!F16</f>
        <v>4537.060262787992</v>
      </c>
      <c r="D16" s="30">
        <f>'Table B'!G16</f>
        <v>1231.005</v>
      </c>
      <c r="E16" s="30">
        <f t="shared" si="1"/>
        <v>92120.1</v>
      </c>
      <c r="F16" s="30">
        <f>E16/20</f>
        <v>4606.005</v>
      </c>
    </row>
    <row r="17" spans="1:6" ht="12.75">
      <c r="A17" s="29" t="s">
        <v>13</v>
      </c>
      <c r="B17" s="30">
        <f>'Table A'!E17</f>
        <v>58450</v>
      </c>
      <c r="C17" s="30">
        <f>'Table A'!F17</f>
        <v>3928.7581090364156</v>
      </c>
      <c r="D17" s="30">
        <f>'Table B'!G17</f>
        <v>866.005</v>
      </c>
      <c r="E17" s="30">
        <f t="shared" si="1"/>
        <v>75770.1</v>
      </c>
      <c r="F17" s="30">
        <f t="shared" si="0"/>
        <v>3788.505</v>
      </c>
    </row>
    <row r="18" spans="1:6" ht="12.75">
      <c r="A18" s="29" t="s">
        <v>14</v>
      </c>
      <c r="B18" s="30">
        <f>'Table A'!E18</f>
        <v>61250</v>
      </c>
      <c r="C18" s="30">
        <f>'Table A'!F18</f>
        <v>4116.962090307621</v>
      </c>
      <c r="D18" s="30">
        <f>'Table B'!G18</f>
        <v>906.005</v>
      </c>
      <c r="E18" s="30">
        <f t="shared" si="1"/>
        <v>79370.1</v>
      </c>
      <c r="F18" s="30">
        <f t="shared" si="0"/>
        <v>3968.505</v>
      </c>
    </row>
    <row r="19" spans="1:6" ht="12.75">
      <c r="A19" s="29" t="s">
        <v>43</v>
      </c>
      <c r="B19" s="30">
        <f>'Table A'!E19</f>
        <v>49000</v>
      </c>
      <c r="C19" s="30">
        <f>'Table A'!F19</f>
        <v>3293.569672246097</v>
      </c>
      <c r="D19" s="30">
        <f>'Table B'!G19</f>
        <v>1431.005</v>
      </c>
      <c r="E19" s="30">
        <f t="shared" si="1"/>
        <v>77620.1</v>
      </c>
      <c r="F19" s="30">
        <f t="shared" si="0"/>
        <v>3881.005</v>
      </c>
    </row>
    <row r="20" spans="1:6" ht="12.75">
      <c r="A20" s="29" t="s">
        <v>44</v>
      </c>
      <c r="B20" s="30">
        <f>'Table A'!E20</f>
        <v>56000</v>
      </c>
      <c r="C20" s="30">
        <f>'Table A'!F20</f>
        <v>3764.079625424111</v>
      </c>
      <c r="D20" s="30">
        <f>'Table B'!G20</f>
        <v>1631.005</v>
      </c>
      <c r="E20" s="30">
        <f>B20+(20*D20)</f>
        <v>88620.1</v>
      </c>
      <c r="F20" s="30">
        <f>E20/20</f>
        <v>4431.005</v>
      </c>
    </row>
    <row r="21" spans="1:6" ht="12.75">
      <c r="A21" s="29" t="s">
        <v>1</v>
      </c>
      <c r="B21" s="30">
        <f>'Table A'!E21</f>
        <v>26000</v>
      </c>
      <c r="C21" s="30">
        <f>'Table A'!F21</f>
        <v>1747.6083975183371</v>
      </c>
      <c r="D21" s="30">
        <f>'Table B'!G21</f>
        <v>10.335</v>
      </c>
      <c r="E21" s="30">
        <f t="shared" si="1"/>
        <v>26206.7</v>
      </c>
      <c r="F21" s="30">
        <f t="shared" si="0"/>
        <v>1310.335</v>
      </c>
    </row>
    <row r="22" spans="1:6" ht="12.75">
      <c r="A22" s="29" t="s">
        <v>81</v>
      </c>
      <c r="B22" s="30">
        <f>'Table A'!E22</f>
        <v>61000</v>
      </c>
      <c r="C22" s="30">
        <f>'Table A'!F22</f>
        <v>4100.158163408407</v>
      </c>
      <c r="D22" s="30">
        <f>'Table B'!G22</f>
        <v>31.005000000000003</v>
      </c>
      <c r="E22" s="30">
        <f t="shared" si="1"/>
        <v>61620.1</v>
      </c>
      <c r="F22" s="30">
        <f t="shared" si="0"/>
        <v>3081.005</v>
      </c>
    </row>
    <row r="23" spans="1:6" ht="12.75">
      <c r="A23" s="29" t="s">
        <v>2</v>
      </c>
      <c r="B23" s="30">
        <f>'Table A'!E23</f>
        <v>6049.16</v>
      </c>
      <c r="C23" s="30">
        <f>'Table A'!F23</f>
        <v>406.5985697666163</v>
      </c>
      <c r="D23" s="30">
        <f>'Table B'!G23</f>
        <v>451.49</v>
      </c>
      <c r="E23" s="30">
        <f t="shared" si="1"/>
        <v>15078.96</v>
      </c>
      <c r="F23" s="30">
        <f t="shared" si="0"/>
        <v>753.948</v>
      </c>
    </row>
    <row r="24" spans="1:6" ht="12.75">
      <c r="A24" s="29" t="s">
        <v>3</v>
      </c>
      <c r="B24" s="30">
        <f>'Table A'!E24</f>
        <v>64500</v>
      </c>
      <c r="C24" s="30">
        <f>'Table A'!F24</f>
        <v>4335.413139997414</v>
      </c>
      <c r="D24" s="30">
        <f>'Table B'!G24</f>
        <v>891.005</v>
      </c>
      <c r="E24" s="30">
        <f t="shared" si="1"/>
        <v>82320.1</v>
      </c>
      <c r="F24" s="30">
        <f t="shared" si="0"/>
        <v>4116.005</v>
      </c>
    </row>
    <row r="25" spans="1:6" ht="12.75">
      <c r="A25" s="32" t="s">
        <v>74</v>
      </c>
      <c r="B25" s="30">
        <f>'Table A'!E25</f>
        <v>46875</v>
      </c>
      <c r="C25" s="30">
        <f>'Table A'!F25</f>
        <v>3150.7362936027716</v>
      </c>
      <c r="D25" s="30">
        <f>'Table B'!G25</f>
        <v>1531.005</v>
      </c>
      <c r="E25" s="30">
        <f t="shared" si="1"/>
        <v>77495.1</v>
      </c>
      <c r="F25" s="30">
        <f t="shared" si="0"/>
        <v>3874.755</v>
      </c>
    </row>
    <row r="26" spans="1:6" ht="12.75">
      <c r="A26" s="32" t="s">
        <v>73</v>
      </c>
      <c r="B26" s="30">
        <f>'Table A'!E26</f>
        <v>183750</v>
      </c>
      <c r="C26" s="30">
        <f>'Table A'!F26</f>
        <v>12350.886270922863</v>
      </c>
      <c r="D26" s="30">
        <f>'Table B'!G26</f>
        <v>1531.005</v>
      </c>
      <c r="E26" s="30">
        <f t="shared" si="1"/>
        <v>214370.1</v>
      </c>
      <c r="F26" s="30">
        <f>E26/20</f>
        <v>10718.505000000001</v>
      </c>
    </row>
    <row r="27" spans="1:6" ht="12.75">
      <c r="A27" s="32" t="s">
        <v>24</v>
      </c>
      <c r="B27" s="30">
        <f>'Table A'!E27</f>
        <v>24000</v>
      </c>
      <c r="C27" s="30">
        <f>'Table A'!F27</f>
        <v>1613.176982324619</v>
      </c>
      <c r="D27" s="30">
        <f>'Table B'!G27</f>
        <v>610.335</v>
      </c>
      <c r="E27" s="30">
        <f>B27+(20*D27)</f>
        <v>36206.7</v>
      </c>
      <c r="F27" s="30">
        <f>E27/20</f>
        <v>1810.3349999999998</v>
      </c>
    </row>
    <row r="28" spans="1:6" ht="12.75">
      <c r="A28" s="33" t="s">
        <v>15</v>
      </c>
      <c r="B28" s="30">
        <f>'Table A'!E28</f>
        <v>42000</v>
      </c>
      <c r="C28" s="30">
        <f>'Table A'!F28</f>
        <v>2823.0597190680833</v>
      </c>
      <c r="D28" s="30">
        <f>'Table B'!G28</f>
        <v>931.005</v>
      </c>
      <c r="E28" s="30">
        <f t="shared" si="1"/>
        <v>60620.1</v>
      </c>
      <c r="F28" s="30">
        <f t="shared" si="0"/>
        <v>3031.005</v>
      </c>
    </row>
    <row r="29" spans="1:6" ht="12.75">
      <c r="A29" s="32" t="s">
        <v>16</v>
      </c>
      <c r="B29" s="30">
        <f>'Table A'!E29</f>
        <v>239580</v>
      </c>
      <c r="C29" s="30">
        <f>'Table A'!F29</f>
        <v>16103.539226055509</v>
      </c>
      <c r="D29" s="30">
        <f>'Table B'!G29</f>
        <v>2188.335</v>
      </c>
      <c r="E29" s="30">
        <f t="shared" si="1"/>
        <v>283346.7</v>
      </c>
      <c r="F29" s="30">
        <f t="shared" si="0"/>
        <v>14167.335000000001</v>
      </c>
    </row>
    <row r="30" spans="1:6" ht="12.75">
      <c r="A30" s="34" t="s">
        <v>17</v>
      </c>
      <c r="B30" s="30">
        <f>'Table A'!E30</f>
        <v>335412</v>
      </c>
      <c r="C30" s="30">
        <f>'Table A'!F30</f>
        <v>22544.954916477713</v>
      </c>
      <c r="D30" s="30">
        <f>'Table B'!G30</f>
        <v>3059.5350000000003</v>
      </c>
      <c r="E30" s="30">
        <f t="shared" si="1"/>
        <v>396602.7</v>
      </c>
      <c r="F30" s="30">
        <f t="shared" si="0"/>
        <v>19830.135000000002</v>
      </c>
    </row>
    <row r="31" spans="1:6" ht="12.75">
      <c r="A31" s="27"/>
      <c r="B31" s="27"/>
      <c r="C31" s="27"/>
      <c r="D31" s="27"/>
      <c r="E31" s="27"/>
      <c r="F31" s="27"/>
    </row>
    <row r="32" spans="1:6" ht="12.75">
      <c r="A32" s="106" t="s">
        <v>92</v>
      </c>
      <c r="B32" s="107"/>
      <c r="C32" s="107"/>
      <c r="D32" s="107"/>
      <c r="E32" s="107"/>
      <c r="F32" s="107"/>
    </row>
    <row r="33" spans="1:6" ht="12.75">
      <c r="A33" s="27"/>
      <c r="B33" s="27"/>
      <c r="C33" s="27"/>
      <c r="D33" s="27"/>
      <c r="E33" s="27"/>
      <c r="F33" s="27"/>
    </row>
  </sheetData>
  <sheetProtection/>
  <mergeCells count="8">
    <mergeCell ref="A32:F32"/>
    <mergeCell ref="A5:A6"/>
    <mergeCell ref="A1:F1"/>
    <mergeCell ref="D5:D6"/>
    <mergeCell ref="A2:F2"/>
    <mergeCell ref="A3:F3"/>
    <mergeCell ref="E5:F5"/>
    <mergeCell ref="B5:C5"/>
  </mergeCells>
  <printOptions/>
  <pageMargins left="0.75" right="0.75" top="1" bottom="1" header="0.5" footer="0.5"/>
  <pageSetup horizontalDpi="600" verticalDpi="600" orientation="landscape" scale="91" r:id="rId1"/>
</worksheet>
</file>

<file path=xl/worksheets/sheet5.xml><?xml version="1.0" encoding="utf-8"?>
<worksheet xmlns="http://schemas.openxmlformats.org/spreadsheetml/2006/main" xmlns:r="http://schemas.openxmlformats.org/officeDocument/2006/relationships">
  <sheetPr>
    <pageSetUpPr fitToPage="1"/>
  </sheetPr>
  <dimension ref="A1:L42"/>
  <sheetViews>
    <sheetView tabSelected="1" zoomScale="85" zoomScaleNormal="85" zoomScalePageLayoutView="0" workbookViewId="0" topLeftCell="A1">
      <selection activeCell="H25" sqref="H25"/>
    </sheetView>
  </sheetViews>
  <sheetFormatPr defaultColWidth="9.140625" defaultRowHeight="12.75"/>
  <cols>
    <col min="1" max="1" width="46.8515625" style="0" customWidth="1"/>
    <col min="2" max="2" width="8.00390625" style="0" customWidth="1"/>
    <col min="3" max="9" width="12.7109375" style="0" customWidth="1"/>
    <col min="10" max="10" width="13.28125" style="0" customWidth="1"/>
    <col min="11" max="11" width="14.57421875" style="0" customWidth="1"/>
    <col min="12" max="12" width="12.7109375" style="0" customWidth="1"/>
  </cols>
  <sheetData>
    <row r="1" spans="1:12" ht="20.25">
      <c r="A1" s="112" t="s">
        <v>70</v>
      </c>
      <c r="B1" s="112"/>
      <c r="C1" s="112"/>
      <c r="D1" s="112"/>
      <c r="E1" s="112"/>
      <c r="F1" s="112"/>
      <c r="G1" s="112"/>
      <c r="H1" s="112"/>
      <c r="I1" s="112"/>
      <c r="J1" s="112"/>
      <c r="K1" s="112"/>
      <c r="L1" s="112"/>
    </row>
    <row r="2" spans="1:12" ht="15.75">
      <c r="A2" s="113" t="s">
        <v>26</v>
      </c>
      <c r="B2" s="113"/>
      <c r="C2" s="113"/>
      <c r="D2" s="113"/>
      <c r="E2" s="113"/>
      <c r="F2" s="113"/>
      <c r="G2" s="113"/>
      <c r="H2" s="113"/>
      <c r="I2" s="113"/>
      <c r="J2" s="113"/>
      <c r="K2" s="113"/>
      <c r="L2" s="113"/>
    </row>
    <row r="3" spans="1:12" ht="15.75">
      <c r="A3" s="113" t="s">
        <v>62</v>
      </c>
      <c r="B3" s="113"/>
      <c r="C3" s="113"/>
      <c r="D3" s="113"/>
      <c r="E3" s="113"/>
      <c r="F3" s="113"/>
      <c r="G3" s="113"/>
      <c r="H3" s="113"/>
      <c r="I3" s="113"/>
      <c r="J3" s="113"/>
      <c r="K3" s="113"/>
      <c r="L3" s="113"/>
    </row>
    <row r="4" spans="1:12" ht="14.25">
      <c r="A4" s="42"/>
      <c r="B4" s="42"/>
      <c r="C4" s="42"/>
      <c r="D4" s="42"/>
      <c r="E4" s="42"/>
      <c r="F4" s="42"/>
      <c r="G4" s="42"/>
      <c r="H4" s="42"/>
      <c r="I4" s="42"/>
      <c r="J4" s="42"/>
      <c r="K4" s="42"/>
      <c r="L4" s="42"/>
    </row>
    <row r="5" spans="1:12" ht="14.25">
      <c r="A5" s="114" t="s">
        <v>25</v>
      </c>
      <c r="B5" s="114"/>
      <c r="C5" s="115" t="s">
        <v>46</v>
      </c>
      <c r="D5" s="116"/>
      <c r="E5" s="117"/>
      <c r="F5" s="43"/>
      <c r="G5" s="114" t="s">
        <v>47</v>
      </c>
      <c r="H5" s="114" t="s">
        <v>103</v>
      </c>
      <c r="I5" s="121" t="s">
        <v>93</v>
      </c>
      <c r="J5" s="121"/>
      <c r="K5" s="121"/>
      <c r="L5" s="121"/>
    </row>
    <row r="6" spans="1:12" ht="14.25">
      <c r="A6" s="114"/>
      <c r="B6" s="114"/>
      <c r="C6" s="118"/>
      <c r="D6" s="119"/>
      <c r="E6" s="120"/>
      <c r="F6" s="44"/>
      <c r="G6" s="114"/>
      <c r="H6" s="114"/>
      <c r="I6" s="114" t="s">
        <v>48</v>
      </c>
      <c r="J6" s="114"/>
      <c r="K6" s="114" t="s">
        <v>49</v>
      </c>
      <c r="L6" s="114"/>
    </row>
    <row r="7" spans="1:12" ht="71.25">
      <c r="A7" s="114"/>
      <c r="B7" s="114"/>
      <c r="C7" s="45" t="s">
        <v>50</v>
      </c>
      <c r="D7" s="45" t="s">
        <v>51</v>
      </c>
      <c r="E7" s="45" t="s">
        <v>52</v>
      </c>
      <c r="F7" s="45" t="s">
        <v>53</v>
      </c>
      <c r="G7" s="114"/>
      <c r="H7" s="114"/>
      <c r="I7" s="45" t="s">
        <v>94</v>
      </c>
      <c r="J7" s="45" t="s">
        <v>95</v>
      </c>
      <c r="K7" s="45" t="s">
        <v>96</v>
      </c>
      <c r="L7" s="45" t="s">
        <v>97</v>
      </c>
    </row>
    <row r="8" spans="1:12" ht="14.25">
      <c r="A8" s="55" t="s">
        <v>0</v>
      </c>
      <c r="B8" s="46"/>
      <c r="C8" s="46"/>
      <c r="D8" s="46"/>
      <c r="E8" s="46"/>
      <c r="F8" s="46"/>
      <c r="G8" s="46"/>
      <c r="H8" s="72">
        <f>F8*G8</f>
        <v>0</v>
      </c>
      <c r="I8" s="51">
        <f>'Table C'!B7*H8</f>
        <v>0</v>
      </c>
      <c r="J8" s="51">
        <f>'Table C'!D7*H8</f>
        <v>0</v>
      </c>
      <c r="K8" s="51">
        <f>I8+(J8*20)</f>
        <v>0</v>
      </c>
      <c r="L8" s="51">
        <f>K8/20</f>
        <v>0</v>
      </c>
    </row>
    <row r="9" spans="1:12" ht="14.25">
      <c r="A9" s="55" t="s">
        <v>77</v>
      </c>
      <c r="B9" s="46"/>
      <c r="C9" s="46"/>
      <c r="D9" s="46"/>
      <c r="E9" s="46"/>
      <c r="F9" s="46"/>
      <c r="G9" s="46"/>
      <c r="H9" s="72">
        <f aca="true" t="shared" si="0" ref="H9:H31">F9*G9</f>
        <v>0</v>
      </c>
      <c r="I9" s="51">
        <f>'Table C'!B8*H9</f>
        <v>0</v>
      </c>
      <c r="J9" s="51">
        <f>'Table C'!D8*H9</f>
        <v>0</v>
      </c>
      <c r="K9" s="51">
        <f aca="true" t="shared" si="1" ref="K9:K31">I9+(J9*20)</f>
        <v>0</v>
      </c>
      <c r="L9" s="51">
        <f aca="true" t="shared" si="2" ref="L9:L31">K9/20</f>
        <v>0</v>
      </c>
    </row>
    <row r="10" spans="1:12" ht="14.25">
      <c r="A10" s="55" t="s">
        <v>78</v>
      </c>
      <c r="B10" s="46"/>
      <c r="C10" s="46"/>
      <c r="D10" s="46"/>
      <c r="E10" s="46"/>
      <c r="F10" s="46"/>
      <c r="G10" s="46"/>
      <c r="H10" s="72">
        <f t="shared" si="0"/>
        <v>0</v>
      </c>
      <c r="I10" s="51">
        <f>'Table C'!B9*H10</f>
        <v>0</v>
      </c>
      <c r="J10" s="51">
        <f>'Table C'!D9*H10</f>
        <v>0</v>
      </c>
      <c r="K10" s="51">
        <f t="shared" si="1"/>
        <v>0</v>
      </c>
      <c r="L10" s="51">
        <f t="shared" si="2"/>
        <v>0</v>
      </c>
    </row>
    <row r="11" spans="1:12" ht="14.25">
      <c r="A11" s="55" t="s">
        <v>79</v>
      </c>
      <c r="B11" s="46"/>
      <c r="C11" s="46"/>
      <c r="D11" s="46"/>
      <c r="E11" s="46"/>
      <c r="F11" s="46"/>
      <c r="G11" s="46"/>
      <c r="H11" s="72">
        <f t="shared" si="0"/>
        <v>0</v>
      </c>
      <c r="I11" s="51">
        <f>'Table C'!B10*H11</f>
        <v>0</v>
      </c>
      <c r="J11" s="51">
        <f>'Table C'!D10*H11</f>
        <v>0</v>
      </c>
      <c r="K11" s="51">
        <f t="shared" si="1"/>
        <v>0</v>
      </c>
      <c r="L11" s="51">
        <f t="shared" si="2"/>
        <v>0</v>
      </c>
    </row>
    <row r="12" spans="1:12" ht="14.25">
      <c r="A12" s="55" t="s">
        <v>9</v>
      </c>
      <c r="B12" s="46"/>
      <c r="C12" s="46"/>
      <c r="D12" s="46"/>
      <c r="E12" s="46"/>
      <c r="F12" s="46"/>
      <c r="G12" s="46"/>
      <c r="H12" s="72">
        <f t="shared" si="0"/>
        <v>0</v>
      </c>
      <c r="I12" s="51">
        <f>'Table C'!B11*H12</f>
        <v>0</v>
      </c>
      <c r="J12" s="51">
        <f>'Table C'!D11*H12</f>
        <v>0</v>
      </c>
      <c r="K12" s="51">
        <f t="shared" si="1"/>
        <v>0</v>
      </c>
      <c r="L12" s="51">
        <f t="shared" si="2"/>
        <v>0</v>
      </c>
    </row>
    <row r="13" spans="1:12" ht="14.25">
      <c r="A13" s="55" t="s">
        <v>10</v>
      </c>
      <c r="B13" s="46"/>
      <c r="C13" s="46"/>
      <c r="D13" s="46"/>
      <c r="E13" s="46"/>
      <c r="F13" s="46"/>
      <c r="G13" s="46"/>
      <c r="H13" s="72">
        <f t="shared" si="0"/>
        <v>0</v>
      </c>
      <c r="I13" s="51">
        <f>'Table C'!B12*H13</f>
        <v>0</v>
      </c>
      <c r="J13" s="51">
        <f>'Table C'!D12*H13</f>
        <v>0</v>
      </c>
      <c r="K13" s="51">
        <f t="shared" si="1"/>
        <v>0</v>
      </c>
      <c r="L13" s="51">
        <f t="shared" si="2"/>
        <v>0</v>
      </c>
    </row>
    <row r="14" spans="1:12" ht="14.25">
      <c r="A14" s="55" t="s">
        <v>42</v>
      </c>
      <c r="B14" s="46"/>
      <c r="C14" s="46"/>
      <c r="D14" s="46"/>
      <c r="E14" s="46"/>
      <c r="F14" s="46"/>
      <c r="G14" s="46"/>
      <c r="H14" s="72">
        <f t="shared" si="0"/>
        <v>0</v>
      </c>
      <c r="I14" s="51">
        <f>'Table C'!B13*H14</f>
        <v>0</v>
      </c>
      <c r="J14" s="51">
        <f>'Table C'!D13*H14</f>
        <v>0</v>
      </c>
      <c r="K14" s="51">
        <f t="shared" si="1"/>
        <v>0</v>
      </c>
      <c r="L14" s="51">
        <f t="shared" si="2"/>
        <v>0</v>
      </c>
    </row>
    <row r="15" spans="1:12" ht="14.25">
      <c r="A15" s="55" t="s">
        <v>41</v>
      </c>
      <c r="B15" s="46"/>
      <c r="C15" s="46"/>
      <c r="D15" s="46"/>
      <c r="E15" s="46"/>
      <c r="F15" s="46"/>
      <c r="G15" s="46"/>
      <c r="H15" s="72">
        <f t="shared" si="0"/>
        <v>0</v>
      </c>
      <c r="I15" s="51">
        <f>'Table C'!B14*H15</f>
        <v>0</v>
      </c>
      <c r="J15" s="51">
        <f>'Table C'!D14*H15</f>
        <v>0</v>
      </c>
      <c r="K15" s="51">
        <f t="shared" si="1"/>
        <v>0</v>
      </c>
      <c r="L15" s="51">
        <f t="shared" si="2"/>
        <v>0</v>
      </c>
    </row>
    <row r="16" spans="1:12" ht="14.25">
      <c r="A16" s="55" t="s">
        <v>11</v>
      </c>
      <c r="B16" s="46"/>
      <c r="C16" s="46"/>
      <c r="D16" s="46"/>
      <c r="E16" s="46"/>
      <c r="F16" s="46"/>
      <c r="G16" s="46"/>
      <c r="H16" s="72">
        <f t="shared" si="0"/>
        <v>0</v>
      </c>
      <c r="I16" s="51">
        <f>'Table C'!B15*H16</f>
        <v>0</v>
      </c>
      <c r="J16" s="51">
        <f>'Table C'!D15*H16</f>
        <v>0</v>
      </c>
      <c r="K16" s="51">
        <f t="shared" si="1"/>
        <v>0</v>
      </c>
      <c r="L16" s="51">
        <f t="shared" si="2"/>
        <v>0</v>
      </c>
    </row>
    <row r="17" spans="1:12" ht="14.25">
      <c r="A17" s="55" t="s">
        <v>12</v>
      </c>
      <c r="B17" s="46"/>
      <c r="C17" s="46"/>
      <c r="D17" s="46"/>
      <c r="E17" s="46"/>
      <c r="F17" s="46"/>
      <c r="G17" s="46"/>
      <c r="H17" s="72">
        <f t="shared" si="0"/>
        <v>0</v>
      </c>
      <c r="I17" s="51">
        <f>'Table C'!B16*H17</f>
        <v>0</v>
      </c>
      <c r="J17" s="51">
        <f>'Table C'!D16*H17</f>
        <v>0</v>
      </c>
      <c r="K17" s="51">
        <f t="shared" si="1"/>
        <v>0</v>
      </c>
      <c r="L17" s="51">
        <f t="shared" si="2"/>
        <v>0</v>
      </c>
    </row>
    <row r="18" spans="1:12" ht="14.25">
      <c r="A18" s="55" t="s">
        <v>13</v>
      </c>
      <c r="B18" s="46"/>
      <c r="C18" s="46"/>
      <c r="D18" s="46"/>
      <c r="E18" s="46"/>
      <c r="F18" s="46"/>
      <c r="G18" s="46"/>
      <c r="H18" s="72">
        <f t="shared" si="0"/>
        <v>0</v>
      </c>
      <c r="I18" s="51">
        <f>'Table C'!B17*H18</f>
        <v>0</v>
      </c>
      <c r="J18" s="51">
        <f>'Table C'!D17*H18</f>
        <v>0</v>
      </c>
      <c r="K18" s="51">
        <f t="shared" si="1"/>
        <v>0</v>
      </c>
      <c r="L18" s="51">
        <f t="shared" si="2"/>
        <v>0</v>
      </c>
    </row>
    <row r="19" spans="1:12" ht="14.25">
      <c r="A19" s="55" t="s">
        <v>14</v>
      </c>
      <c r="B19" s="46"/>
      <c r="C19" s="46"/>
      <c r="D19" s="46"/>
      <c r="E19" s="46"/>
      <c r="F19" s="46"/>
      <c r="G19" s="46"/>
      <c r="H19" s="72">
        <f t="shared" si="0"/>
        <v>0</v>
      </c>
      <c r="I19" s="51">
        <f>'Table C'!B18*H19</f>
        <v>0</v>
      </c>
      <c r="J19" s="51">
        <f>'Table C'!D18*H19</f>
        <v>0</v>
      </c>
      <c r="K19" s="51">
        <f t="shared" si="1"/>
        <v>0</v>
      </c>
      <c r="L19" s="51">
        <f t="shared" si="2"/>
        <v>0</v>
      </c>
    </row>
    <row r="20" spans="1:12" ht="14.25">
      <c r="A20" s="55" t="s">
        <v>43</v>
      </c>
      <c r="B20" s="46"/>
      <c r="C20" s="46"/>
      <c r="D20" s="46"/>
      <c r="E20" s="46"/>
      <c r="F20" s="46"/>
      <c r="G20" s="46"/>
      <c r="H20" s="72">
        <f t="shared" si="0"/>
        <v>0</v>
      </c>
      <c r="I20" s="51">
        <f>'Table C'!B19*H20</f>
        <v>0</v>
      </c>
      <c r="J20" s="51">
        <f>'Table C'!D19*H20</f>
        <v>0</v>
      </c>
      <c r="K20" s="51">
        <f t="shared" si="1"/>
        <v>0</v>
      </c>
      <c r="L20" s="51">
        <f t="shared" si="2"/>
        <v>0</v>
      </c>
    </row>
    <row r="21" spans="1:12" ht="14.25">
      <c r="A21" s="55" t="s">
        <v>44</v>
      </c>
      <c r="B21" s="46"/>
      <c r="C21" s="46"/>
      <c r="D21" s="46"/>
      <c r="E21" s="46"/>
      <c r="F21" s="46"/>
      <c r="G21" s="46"/>
      <c r="H21" s="72">
        <f t="shared" si="0"/>
        <v>0</v>
      </c>
      <c r="I21" s="51">
        <f>'Table C'!B20*H21</f>
        <v>0</v>
      </c>
      <c r="J21" s="51">
        <f>'Table C'!D20*H21</f>
        <v>0</v>
      </c>
      <c r="K21" s="51">
        <f t="shared" si="1"/>
        <v>0</v>
      </c>
      <c r="L21" s="51">
        <f t="shared" si="2"/>
        <v>0</v>
      </c>
    </row>
    <row r="22" spans="1:12" ht="14.25">
      <c r="A22" s="55" t="s">
        <v>1</v>
      </c>
      <c r="B22" s="46"/>
      <c r="C22" s="46"/>
      <c r="D22" s="46"/>
      <c r="E22" s="46"/>
      <c r="F22" s="46"/>
      <c r="G22" s="46"/>
      <c r="H22" s="72">
        <f t="shared" si="0"/>
        <v>0</v>
      </c>
      <c r="I22" s="51">
        <f>'Table C'!B21*H22</f>
        <v>0</v>
      </c>
      <c r="J22" s="51">
        <f>'Table C'!D21*H22</f>
        <v>0</v>
      </c>
      <c r="K22" s="51">
        <f t="shared" si="1"/>
        <v>0</v>
      </c>
      <c r="L22" s="51">
        <f t="shared" si="2"/>
        <v>0</v>
      </c>
    </row>
    <row r="23" spans="1:12" ht="14.25">
      <c r="A23" s="55" t="s">
        <v>81</v>
      </c>
      <c r="B23" s="46"/>
      <c r="C23" s="46"/>
      <c r="D23" s="46"/>
      <c r="E23" s="46"/>
      <c r="F23" s="46"/>
      <c r="G23" s="46"/>
      <c r="H23" s="72">
        <f t="shared" si="0"/>
        <v>0</v>
      </c>
      <c r="I23" s="51">
        <f>'Table C'!B22*H23</f>
        <v>0</v>
      </c>
      <c r="J23" s="51">
        <f>'Table C'!D22*H23</f>
        <v>0</v>
      </c>
      <c r="K23" s="51">
        <f t="shared" si="1"/>
        <v>0</v>
      </c>
      <c r="L23" s="51">
        <f t="shared" si="2"/>
        <v>0</v>
      </c>
    </row>
    <row r="24" spans="1:12" ht="14.25">
      <c r="A24" s="56" t="s">
        <v>2</v>
      </c>
      <c r="B24" s="50"/>
      <c r="C24" s="50"/>
      <c r="D24" s="50"/>
      <c r="E24" s="50"/>
      <c r="F24" s="50"/>
      <c r="G24" s="50"/>
      <c r="H24" s="72">
        <f t="shared" si="0"/>
        <v>0</v>
      </c>
      <c r="I24" s="51">
        <f>'Table C'!B23*H24</f>
        <v>0</v>
      </c>
      <c r="J24" s="51">
        <f>'Table C'!D23*H24</f>
        <v>0</v>
      </c>
      <c r="K24" s="53">
        <f t="shared" si="1"/>
        <v>0</v>
      </c>
      <c r="L24" s="53">
        <f t="shared" si="2"/>
        <v>0</v>
      </c>
    </row>
    <row r="25" spans="1:12" s="9" customFormat="1" ht="14.25">
      <c r="A25" s="55" t="s">
        <v>3</v>
      </c>
      <c r="B25" s="46"/>
      <c r="C25" s="46"/>
      <c r="D25" s="46"/>
      <c r="E25" s="46"/>
      <c r="F25" s="46"/>
      <c r="G25" s="46"/>
      <c r="H25" s="72">
        <f t="shared" si="0"/>
        <v>0</v>
      </c>
      <c r="I25" s="51">
        <f>'Table C'!B24*H25</f>
        <v>0</v>
      </c>
      <c r="J25" s="51">
        <f>'Table C'!D24*H25</f>
        <v>0</v>
      </c>
      <c r="K25" s="51">
        <f t="shared" si="1"/>
        <v>0</v>
      </c>
      <c r="L25" s="51">
        <f t="shared" si="2"/>
        <v>0</v>
      </c>
    </row>
    <row r="26" spans="1:12" s="9" customFormat="1" ht="14.25">
      <c r="A26" s="57" t="s">
        <v>74</v>
      </c>
      <c r="B26" s="46"/>
      <c r="C26" s="46"/>
      <c r="D26" s="46"/>
      <c r="E26" s="46"/>
      <c r="F26" s="46"/>
      <c r="G26" s="46"/>
      <c r="H26" s="72">
        <f t="shared" si="0"/>
        <v>0</v>
      </c>
      <c r="I26" s="51">
        <f>'Table C'!B25*H26</f>
        <v>0</v>
      </c>
      <c r="J26" s="51">
        <f>'Table C'!D25*H26</f>
        <v>0</v>
      </c>
      <c r="K26" s="51">
        <f t="shared" si="1"/>
        <v>0</v>
      </c>
      <c r="L26" s="51">
        <f t="shared" si="2"/>
        <v>0</v>
      </c>
    </row>
    <row r="27" spans="1:12" s="9" customFormat="1" ht="14.25">
      <c r="A27" s="57" t="s">
        <v>73</v>
      </c>
      <c r="B27" s="46"/>
      <c r="C27" s="46"/>
      <c r="D27" s="46"/>
      <c r="E27" s="46"/>
      <c r="F27" s="46"/>
      <c r="G27" s="46"/>
      <c r="H27" s="72">
        <f t="shared" si="0"/>
        <v>0</v>
      </c>
      <c r="I27" s="51">
        <f>'Table C'!B26*H27</f>
        <v>0</v>
      </c>
      <c r="J27" s="51">
        <f>'Table C'!D26*H27</f>
        <v>0</v>
      </c>
      <c r="K27" s="51">
        <f t="shared" si="1"/>
        <v>0</v>
      </c>
      <c r="L27" s="51">
        <f t="shared" si="2"/>
        <v>0</v>
      </c>
    </row>
    <row r="28" spans="1:12" s="9" customFormat="1" ht="14.25">
      <c r="A28" s="57" t="s">
        <v>24</v>
      </c>
      <c r="B28" s="46"/>
      <c r="C28" s="46"/>
      <c r="D28" s="46"/>
      <c r="E28" s="46"/>
      <c r="F28" s="46"/>
      <c r="G28" s="46"/>
      <c r="H28" s="72">
        <f t="shared" si="0"/>
        <v>0</v>
      </c>
      <c r="I28" s="51">
        <f>'Table C'!B27*H28</f>
        <v>0</v>
      </c>
      <c r="J28" s="51">
        <f>'Table C'!D27*H28</f>
        <v>0</v>
      </c>
      <c r="K28" s="51">
        <f t="shared" si="1"/>
        <v>0</v>
      </c>
      <c r="L28" s="51">
        <f t="shared" si="2"/>
        <v>0</v>
      </c>
    </row>
    <row r="29" spans="1:12" s="9" customFormat="1" ht="14.25" customHeight="1">
      <c r="A29" s="58" t="s">
        <v>15</v>
      </c>
      <c r="B29" s="46"/>
      <c r="C29" s="46"/>
      <c r="D29" s="46"/>
      <c r="E29" s="46"/>
      <c r="F29" s="46"/>
      <c r="G29" s="46"/>
      <c r="H29" s="72">
        <f t="shared" si="0"/>
        <v>0</v>
      </c>
      <c r="I29" s="51">
        <f>'Table C'!B28*H29</f>
        <v>0</v>
      </c>
      <c r="J29" s="51">
        <f>'Table C'!D28*H29</f>
        <v>0</v>
      </c>
      <c r="K29" s="51">
        <f t="shared" si="1"/>
        <v>0</v>
      </c>
      <c r="L29" s="51">
        <f t="shared" si="2"/>
        <v>0</v>
      </c>
    </row>
    <row r="30" spans="1:12" s="9" customFormat="1" ht="14.25" customHeight="1">
      <c r="A30" s="57" t="s">
        <v>16</v>
      </c>
      <c r="B30" s="46"/>
      <c r="C30" s="46"/>
      <c r="D30" s="46"/>
      <c r="E30" s="46"/>
      <c r="F30" s="46"/>
      <c r="G30" s="46"/>
      <c r="H30" s="72">
        <f t="shared" si="0"/>
        <v>0</v>
      </c>
      <c r="I30" s="51">
        <f>'Table C'!B29*H30</f>
        <v>0</v>
      </c>
      <c r="J30" s="51">
        <f>'Table C'!D29*H30</f>
        <v>0</v>
      </c>
      <c r="K30" s="51">
        <f t="shared" si="1"/>
        <v>0</v>
      </c>
      <c r="L30" s="51">
        <f t="shared" si="2"/>
        <v>0</v>
      </c>
    </row>
    <row r="31" spans="1:12" s="9" customFormat="1" ht="14.25">
      <c r="A31" s="59" t="s">
        <v>17</v>
      </c>
      <c r="B31" s="46"/>
      <c r="C31" s="46"/>
      <c r="D31" s="46"/>
      <c r="E31" s="46"/>
      <c r="F31" s="46"/>
      <c r="G31" s="46"/>
      <c r="H31" s="72">
        <f t="shared" si="0"/>
        <v>0</v>
      </c>
      <c r="I31" s="51">
        <f>'Table C'!B30*H31</f>
        <v>0</v>
      </c>
      <c r="J31" s="51">
        <f>'Table C'!D30*H31</f>
        <v>0</v>
      </c>
      <c r="K31" s="51">
        <f t="shared" si="1"/>
        <v>0</v>
      </c>
      <c r="L31" s="51">
        <f t="shared" si="2"/>
        <v>0</v>
      </c>
    </row>
    <row r="32" spans="1:12" s="9" customFormat="1" ht="14.25">
      <c r="A32" s="49"/>
      <c r="B32" s="49"/>
      <c r="C32" s="49"/>
      <c r="D32" s="49"/>
      <c r="E32" s="49"/>
      <c r="F32" s="49"/>
      <c r="G32" s="49"/>
      <c r="H32" s="49"/>
      <c r="I32" s="49"/>
      <c r="J32" s="49"/>
      <c r="K32" s="49"/>
      <c r="L32" s="49"/>
    </row>
    <row r="33" spans="1:12" ht="14.25">
      <c r="A33" s="48"/>
      <c r="B33" s="49"/>
      <c r="C33" s="49"/>
      <c r="D33" s="49"/>
      <c r="E33" s="49"/>
      <c r="F33" s="49"/>
      <c r="G33" s="49"/>
      <c r="H33" s="49"/>
      <c r="I33" s="49"/>
      <c r="J33" s="49"/>
      <c r="K33" s="49"/>
      <c r="L33" s="49"/>
    </row>
    <row r="34" spans="1:12" ht="14.25">
      <c r="A34" s="123" t="s">
        <v>54</v>
      </c>
      <c r="B34" s="123"/>
      <c r="C34" s="46">
        <f>SUM(C8:C25)</f>
        <v>0</v>
      </c>
      <c r="D34" s="46">
        <f>SUM(D8:D25)</f>
        <v>0</v>
      </c>
      <c r="E34" s="46">
        <f>SUM(E8:E25)</f>
        <v>0</v>
      </c>
      <c r="F34" s="49"/>
      <c r="G34" s="122" t="s">
        <v>55</v>
      </c>
      <c r="H34" s="111"/>
      <c r="I34" s="111"/>
      <c r="J34" s="111"/>
      <c r="K34" s="51">
        <f>SUM(K8:K31)</f>
        <v>0</v>
      </c>
      <c r="L34" s="51">
        <f>SUM(L8:L31)</f>
        <v>0</v>
      </c>
    </row>
    <row r="35" spans="1:12" ht="14.25">
      <c r="A35" s="47"/>
      <c r="B35" s="49"/>
      <c r="C35" s="49"/>
      <c r="D35" s="49"/>
      <c r="E35" s="49"/>
      <c r="F35" s="49"/>
      <c r="G35" s="122" t="s">
        <v>56</v>
      </c>
      <c r="H35" s="111"/>
      <c r="I35" s="111"/>
      <c r="J35" s="111"/>
      <c r="K35" s="52" t="e">
        <f>K34/$B$40</f>
        <v>#DIV/0!</v>
      </c>
      <c r="L35" s="51" t="e">
        <f>L34/$B$40</f>
        <v>#DIV/0!</v>
      </c>
    </row>
    <row r="36" spans="1:12" ht="14.25">
      <c r="A36" s="47"/>
      <c r="B36" s="49"/>
      <c r="C36" s="49"/>
      <c r="D36" s="49"/>
      <c r="E36" s="49"/>
      <c r="F36" s="49"/>
      <c r="G36" s="122" t="s">
        <v>57</v>
      </c>
      <c r="H36" s="111"/>
      <c r="I36" s="111"/>
      <c r="J36" s="111"/>
      <c r="K36" s="52" t="e">
        <f>K34/$B$41</f>
        <v>#DIV/0!</v>
      </c>
      <c r="L36" s="51" t="e">
        <f>L34/$B$41</f>
        <v>#DIV/0!</v>
      </c>
    </row>
    <row r="37" spans="1:12" ht="14.25">
      <c r="A37" s="47"/>
      <c r="B37" s="49"/>
      <c r="C37" s="49"/>
      <c r="D37" s="49"/>
      <c r="E37" s="49"/>
      <c r="F37" s="49"/>
      <c r="G37" s="110" t="s">
        <v>58</v>
      </c>
      <c r="H37" s="111"/>
      <c r="I37" s="111"/>
      <c r="J37" s="111"/>
      <c r="K37" s="52" t="e">
        <f>K33/$B$42</f>
        <v>#DIV/0!</v>
      </c>
      <c r="L37" s="51" t="e">
        <f>L33/$B$42</f>
        <v>#DIV/0!</v>
      </c>
    </row>
    <row r="38" spans="1:12" ht="14.25">
      <c r="A38" s="47"/>
      <c r="B38" s="47"/>
      <c r="C38" s="47"/>
      <c r="D38" s="47"/>
      <c r="E38" s="47"/>
      <c r="F38" s="47"/>
      <c r="G38" s="47"/>
      <c r="H38" s="47"/>
      <c r="I38" s="47"/>
      <c r="J38" s="47"/>
      <c r="K38" s="47"/>
      <c r="L38" s="47"/>
    </row>
    <row r="39" spans="1:12" ht="14.25">
      <c r="A39" s="47"/>
      <c r="B39" s="47"/>
      <c r="C39" s="47"/>
      <c r="D39" s="47"/>
      <c r="E39" s="47"/>
      <c r="F39" s="47"/>
      <c r="G39" s="47"/>
      <c r="H39" s="47"/>
      <c r="I39" s="47"/>
      <c r="J39" s="47"/>
      <c r="K39" s="47"/>
      <c r="L39" s="47"/>
    </row>
    <row r="40" spans="1:12" ht="14.25">
      <c r="A40" s="68" t="s">
        <v>59</v>
      </c>
      <c r="B40" s="69">
        <v>0</v>
      </c>
      <c r="C40" s="49"/>
      <c r="D40" s="49"/>
      <c r="E40" s="49"/>
      <c r="F40" s="49"/>
      <c r="G40" s="47"/>
      <c r="H40" s="47"/>
      <c r="I40" s="47"/>
      <c r="J40" s="47"/>
      <c r="K40" s="47"/>
      <c r="L40" s="47"/>
    </row>
    <row r="41" spans="1:12" ht="14.25">
      <c r="A41" s="68" t="s">
        <v>60</v>
      </c>
      <c r="B41" s="69">
        <v>0</v>
      </c>
      <c r="C41" s="49"/>
      <c r="D41" s="49"/>
      <c r="E41" s="49"/>
      <c r="F41" s="49"/>
      <c r="G41" s="47"/>
      <c r="H41" s="47"/>
      <c r="I41" s="47"/>
      <c r="J41" s="47"/>
      <c r="K41" s="47"/>
      <c r="L41" s="47"/>
    </row>
    <row r="42" spans="1:12" ht="14.25">
      <c r="A42" s="68" t="s">
        <v>61</v>
      </c>
      <c r="B42" s="69">
        <v>0</v>
      </c>
      <c r="C42" s="49"/>
      <c r="D42" s="49"/>
      <c r="E42" s="49"/>
      <c r="F42" s="49"/>
      <c r="G42" s="47"/>
      <c r="H42" s="47"/>
      <c r="I42" s="47"/>
      <c r="J42" s="47"/>
      <c r="K42" s="47"/>
      <c r="L42" s="47"/>
    </row>
  </sheetData>
  <sheetProtection/>
  <mergeCells count="16">
    <mergeCell ref="G35:J35"/>
    <mergeCell ref="G36:J36"/>
    <mergeCell ref="K6:L6"/>
    <mergeCell ref="A2:L2"/>
    <mergeCell ref="A34:B34"/>
    <mergeCell ref="G34:J34"/>
    <mergeCell ref="G37:J37"/>
    <mergeCell ref="A1:L1"/>
    <mergeCell ref="A3:L3"/>
    <mergeCell ref="A5:A7"/>
    <mergeCell ref="B5:B7"/>
    <mergeCell ref="C5:E6"/>
    <mergeCell ref="G5:G7"/>
    <mergeCell ref="H5:H7"/>
    <mergeCell ref="I5:L5"/>
    <mergeCell ref="I6:J6"/>
  </mergeCells>
  <printOptions/>
  <pageMargins left="0.7" right="0.7" top="0.75" bottom="0.75" header="0.3" footer="0.3"/>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eprice</dc:creator>
  <cp:keywords/>
  <dc:description/>
  <cp:lastModifiedBy>sal</cp:lastModifiedBy>
  <cp:lastPrinted>2011-10-06T18:15:40Z</cp:lastPrinted>
  <dcterms:created xsi:type="dcterms:W3CDTF">1996-10-14T23:33:28Z</dcterms:created>
  <dcterms:modified xsi:type="dcterms:W3CDTF">2013-02-06T19:13:50Z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ntentType">
    <vt:lpwstr>Document</vt:lpwstr>
  </property>
</Properties>
</file>